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itlana.Seniuk\Downloads\"/>
    </mc:Choice>
  </mc:AlternateContent>
  <bookViews>
    <workbookView xWindow="0" yWindow="0" windowWidth="28800" windowHeight="12180" tabRatio="865"/>
  </bookViews>
  <sheets>
    <sheet name="титулка" sheetId="1" r:id="rId1"/>
    <sheet name="Основні фінансові показники" sheetId="4" r:id="rId2"/>
    <sheet name="формування фін результатів" sheetId="3" r:id="rId3"/>
    <sheet name="розрахунки з бюджетом" sheetId="7" r:id="rId4"/>
    <sheet name="рух грош коштів" sheetId="8" r:id="rId5"/>
    <sheet name="Капітальні інвестиції " sheetId="9" r:id="rId6"/>
    <sheet name="Коефіцієнтний аналіз" sheetId="10" r:id="rId7"/>
    <sheet name="дані про персонал" sheetId="11" r:id="rId8"/>
    <sheet name="перелік підприємств" sheetId="16" r:id="rId9"/>
    <sheet name="інформ про бізнес " sheetId="14" r:id="rId10"/>
    <sheet name="діючі фін зобовязання" sheetId="17" r:id="rId11"/>
    <sheet name="інформ.про залучені кошти" sheetId="18" r:id="rId12"/>
    <sheet name="витрати на автом." sheetId="19" r:id="rId13"/>
    <sheet name="витрати на оренду автом" sheetId="20" r:id="rId14"/>
    <sheet name="джерела кап інвест" sheetId="21" r:id="rId15"/>
    <sheet name="кап.буд," sheetId="22" r:id="rId16"/>
    <sheet name="довідка" sheetId="6" state="hidden" r:id="rId17"/>
    <sheet name="штатний розклад" sheetId="15" state="hidden" r:id="rId18"/>
    <sheet name="порівняльна таблиця" sheetId="23" state="hidden" r:id="rId19"/>
  </sheets>
  <definedNames>
    <definedName name="_xlnm.Print_Area" localSheetId="16">довідка!$A$1:$M$42</definedName>
    <definedName name="_xlnm.Print_Area" localSheetId="1">'Основні фінансові показники'!$A$1:$J$99</definedName>
    <definedName name="_xlnm.Print_Area" localSheetId="18">'порівняльна таблиця'!$A$1:$F$43</definedName>
    <definedName name="_xlnm.Print_Area" localSheetId="3">'розрахунки з бюджетом'!$A$1:$J$43</definedName>
    <definedName name="_xlnm.Print_Area" localSheetId="2">'формування фін результатів'!$A$1:$K$99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6" l="1"/>
  <c r="E11" i="6"/>
  <c r="D11" i="6"/>
  <c r="C11" i="6"/>
  <c r="B10" i="6"/>
  <c r="B31" i="11"/>
  <c r="B23" i="11"/>
  <c r="B17" i="11" s="1"/>
  <c r="E7" i="11"/>
  <c r="C25" i="8" l="1"/>
  <c r="D25" i="8"/>
  <c r="C93" i="3"/>
  <c r="C91" i="3"/>
  <c r="C90" i="3" s="1"/>
  <c r="C92" i="3"/>
  <c r="M7" i="14"/>
  <c r="G27" i="3"/>
  <c r="C7" i="3"/>
  <c r="G33" i="15"/>
  <c r="I33" i="15" s="1"/>
  <c r="L33" i="15" s="1"/>
  <c r="J33" i="15"/>
  <c r="G27" i="15"/>
  <c r="I27" i="15" s="1"/>
  <c r="G28" i="15"/>
  <c r="J27" i="15"/>
  <c r="I26" i="15"/>
  <c r="K26" i="15" s="1"/>
  <c r="J26" i="15"/>
  <c r="M26" i="15"/>
  <c r="G9" i="15"/>
  <c r="F19" i="6"/>
  <c r="N26" i="15" l="1"/>
  <c r="L26" i="15"/>
  <c r="O26" i="15"/>
  <c r="P26" i="15" s="1"/>
  <c r="N33" i="15"/>
  <c r="M33" i="15"/>
  <c r="K33" i="15"/>
  <c r="L27" i="15"/>
  <c r="N27" i="15"/>
  <c r="M27" i="15"/>
  <c r="K27" i="15"/>
  <c r="D43" i="23"/>
  <c r="D25" i="23"/>
  <c r="D29" i="23" s="1"/>
  <c r="D35" i="23"/>
  <c r="D34" i="23"/>
  <c r="D30" i="23"/>
  <c r="D33" i="23" s="1"/>
  <c r="F5" i="23"/>
  <c r="O33" i="15" l="1"/>
  <c r="P33" i="15" s="1"/>
  <c r="O27" i="15"/>
  <c r="P27" i="15" s="1"/>
  <c r="F43" i="23"/>
  <c r="F42" i="23"/>
  <c r="F41" i="23"/>
  <c r="F40" i="23"/>
  <c r="F39" i="23"/>
  <c r="F37" i="23"/>
  <c r="F35" i="23"/>
  <c r="F34" i="23"/>
  <c r="F33" i="23"/>
  <c r="F31" i="23"/>
  <c r="F30" i="23"/>
  <c r="F29" i="23"/>
  <c r="F28" i="23"/>
  <c r="F27" i="23"/>
  <c r="F26" i="23"/>
  <c r="F25" i="23"/>
  <c r="F24" i="23"/>
  <c r="F23" i="23"/>
  <c r="F22" i="23"/>
  <c r="F21" i="23"/>
  <c r="F17" i="23"/>
  <c r="F16" i="23"/>
  <c r="F15" i="23"/>
  <c r="F14" i="23"/>
  <c r="F13" i="23"/>
  <c r="F12" i="23"/>
  <c r="F11" i="23"/>
  <c r="F10" i="23"/>
  <c r="F9" i="23"/>
  <c r="F8" i="23"/>
  <c r="F7" i="23"/>
  <c r="F6" i="23"/>
  <c r="J13" i="3" l="1"/>
  <c r="G13" i="3"/>
  <c r="I13" i="3"/>
  <c r="H13" i="3"/>
  <c r="D18" i="7" l="1"/>
  <c r="G7" i="7" s="1"/>
  <c r="D70" i="4"/>
  <c r="C70" i="4"/>
  <c r="D65" i="4"/>
  <c r="C65" i="4"/>
  <c r="E76" i="3"/>
  <c r="F7" i="6" l="1"/>
  <c r="F57" i="3"/>
  <c r="G24" i="3"/>
  <c r="I9" i="15"/>
  <c r="G35" i="15"/>
  <c r="G34" i="15"/>
  <c r="G32" i="15"/>
  <c r="G31" i="15"/>
  <c r="G30" i="15"/>
  <c r="G29" i="15"/>
  <c r="G22" i="15"/>
  <c r="G21" i="15"/>
  <c r="G20" i="15"/>
  <c r="G19" i="15"/>
  <c r="G18" i="15"/>
  <c r="G17" i="15"/>
  <c r="G16" i="15"/>
  <c r="G13" i="15"/>
  <c r="G12" i="15"/>
  <c r="G10" i="15" l="1"/>
  <c r="I10" i="15" s="1"/>
  <c r="G11" i="15"/>
  <c r="B28" i="11" l="1"/>
  <c r="B33" i="11"/>
  <c r="B18" i="11"/>
  <c r="B16" i="11"/>
  <c r="B32" i="11"/>
  <c r="B19" i="11" l="1"/>
  <c r="D50" i="8"/>
  <c r="D47" i="8" s="1"/>
  <c r="C50" i="8"/>
  <c r="C21" i="8" l="1"/>
  <c r="D94" i="3"/>
  <c r="D38" i="7" s="1"/>
  <c r="C94" i="3"/>
  <c r="C52" i="3" l="1"/>
  <c r="C96" i="3" s="1"/>
  <c r="M6" i="14"/>
  <c r="G6" i="3" s="1"/>
  <c r="M5" i="14"/>
  <c r="G7" i="8" l="1"/>
  <c r="J58" i="3"/>
  <c r="I58" i="3"/>
  <c r="H58" i="3"/>
  <c r="H33" i="7" s="1"/>
  <c r="G58" i="3"/>
  <c r="G33" i="7" s="1"/>
  <c r="B7" i="6"/>
  <c r="F58" i="3" l="1"/>
  <c r="J8" i="14"/>
  <c r="G8" i="14"/>
  <c r="D6" i="3" s="1"/>
  <c r="D8" i="14"/>
  <c r="B5" i="14" s="1"/>
  <c r="N7" i="14"/>
  <c r="O7" i="14" s="1"/>
  <c r="L7" i="14"/>
  <c r="F7" i="14"/>
  <c r="N8" i="6"/>
  <c r="B7" i="14" l="1"/>
  <c r="F73" i="4"/>
  <c r="M8" i="14" l="1"/>
  <c r="E75" i="3"/>
  <c r="C6" i="14" l="1"/>
  <c r="C5" i="14"/>
  <c r="C7" i="14"/>
  <c r="E10" i="6"/>
  <c r="D10" i="6"/>
  <c r="C10" i="6"/>
  <c r="H6" i="3" s="1"/>
  <c r="J6" i="3" l="1"/>
  <c r="E21" i="7"/>
  <c r="J52" i="8"/>
  <c r="I52" i="8"/>
  <c r="H52" i="8"/>
  <c r="J51" i="8"/>
  <c r="I51" i="8"/>
  <c r="H51" i="8"/>
  <c r="G52" i="8"/>
  <c r="G51" i="8"/>
  <c r="C99" i="4"/>
  <c r="C31" i="11"/>
  <c r="C33" i="11"/>
  <c r="D33" i="11" s="1"/>
  <c r="C19" i="11"/>
  <c r="D17" i="11"/>
  <c r="C7" i="11"/>
  <c r="D87" i="4" s="1"/>
  <c r="E87" i="4" s="1"/>
  <c r="D30" i="11"/>
  <c r="D29" i="11"/>
  <c r="D27" i="11"/>
  <c r="D26" i="11"/>
  <c r="D24" i="11"/>
  <c r="D22" i="11"/>
  <c r="D21" i="11"/>
  <c r="D20" i="11"/>
  <c r="D18" i="11"/>
  <c r="D15" i="11"/>
  <c r="D14" i="11"/>
  <c r="D12" i="11"/>
  <c r="D11" i="11"/>
  <c r="D10" i="11"/>
  <c r="D9" i="11"/>
  <c r="D8" i="11"/>
  <c r="E17" i="10"/>
  <c r="D62" i="4" s="1"/>
  <c r="E13" i="10"/>
  <c r="F13" i="10" s="1"/>
  <c r="E8" i="10"/>
  <c r="F8" i="10" s="1"/>
  <c r="E7" i="10"/>
  <c r="F7" i="10" s="1"/>
  <c r="E11" i="9"/>
  <c r="D11" i="9"/>
  <c r="C5" i="9"/>
  <c r="D17" i="8"/>
  <c r="C17" i="8"/>
  <c r="E78" i="8"/>
  <c r="E77" i="8"/>
  <c r="E74" i="8"/>
  <c r="E73" i="8"/>
  <c r="E72" i="8"/>
  <c r="E71" i="8"/>
  <c r="E70" i="8"/>
  <c r="E69" i="8"/>
  <c r="E68" i="8"/>
  <c r="E66" i="8"/>
  <c r="E64" i="8"/>
  <c r="E63" i="8"/>
  <c r="E62" i="8"/>
  <c r="E61" i="8"/>
  <c r="E59" i="8"/>
  <c r="D67" i="8"/>
  <c r="D65" i="8" s="1"/>
  <c r="E65" i="8" s="1"/>
  <c r="D60" i="8"/>
  <c r="D58" i="8" s="1"/>
  <c r="E58" i="8" s="1"/>
  <c r="E36" i="8"/>
  <c r="E35" i="8"/>
  <c r="E34" i="8"/>
  <c r="E33" i="8"/>
  <c r="E32" i="8"/>
  <c r="E31" i="8"/>
  <c r="E30" i="8"/>
  <c r="E29" i="8"/>
  <c r="E28" i="8"/>
  <c r="E27" i="8"/>
  <c r="E26" i="8"/>
  <c r="E24" i="8"/>
  <c r="E23" i="8"/>
  <c r="E22" i="8"/>
  <c r="E21" i="8"/>
  <c r="E20" i="8"/>
  <c r="E19" i="8"/>
  <c r="E18" i="8"/>
  <c r="E16" i="8"/>
  <c r="E15" i="8"/>
  <c r="E14" i="8"/>
  <c r="E13" i="8"/>
  <c r="E11" i="8"/>
  <c r="E10" i="8"/>
  <c r="E9" i="8"/>
  <c r="E8" i="8"/>
  <c r="E7" i="8"/>
  <c r="E55" i="8"/>
  <c r="E54" i="8"/>
  <c r="E53" i="8"/>
  <c r="E52" i="8"/>
  <c r="E51" i="8"/>
  <c r="E50" i="8"/>
  <c r="E49" i="8"/>
  <c r="E48" i="8"/>
  <c r="E46" i="8"/>
  <c r="E45" i="8"/>
  <c r="E44" i="8"/>
  <c r="E42" i="8"/>
  <c r="E41" i="8"/>
  <c r="E40" i="8"/>
  <c r="E47" i="8"/>
  <c r="D12" i="8"/>
  <c r="D6" i="8" s="1"/>
  <c r="C12" i="8"/>
  <c r="C6" i="8" s="1"/>
  <c r="J39" i="3"/>
  <c r="I39" i="3"/>
  <c r="H39" i="3"/>
  <c r="G39" i="3"/>
  <c r="C20" i="7"/>
  <c r="D20" i="7"/>
  <c r="E20" i="7" s="1"/>
  <c r="E42" i="7"/>
  <c r="E41" i="7"/>
  <c r="E40" i="7"/>
  <c r="E39" i="7"/>
  <c r="E37" i="7"/>
  <c r="E36" i="7"/>
  <c r="E34" i="7"/>
  <c r="E32" i="7"/>
  <c r="E31" i="7"/>
  <c r="E29" i="7"/>
  <c r="E28" i="7"/>
  <c r="E27" i="7"/>
  <c r="E26" i="7"/>
  <c r="E25" i="7"/>
  <c r="E24" i="7"/>
  <c r="E23" i="7"/>
  <c r="E22" i="7"/>
  <c r="D33" i="7"/>
  <c r="D30" i="7" s="1"/>
  <c r="D42" i="4" s="1"/>
  <c r="E42" i="4" s="1"/>
  <c r="E18" i="7"/>
  <c r="F7" i="7"/>
  <c r="E7" i="7"/>
  <c r="E6" i="7"/>
  <c r="D96" i="4"/>
  <c r="E96" i="4" s="1"/>
  <c r="D95" i="4"/>
  <c r="E95" i="4" s="1"/>
  <c r="D92" i="4"/>
  <c r="E92" i="4" s="1"/>
  <c r="D91" i="4"/>
  <c r="E91" i="4" s="1"/>
  <c r="D90" i="4"/>
  <c r="E90" i="4" s="1"/>
  <c r="D89" i="4"/>
  <c r="E89" i="4" s="1"/>
  <c r="D88" i="4"/>
  <c r="E88" i="4" s="1"/>
  <c r="E72" i="4"/>
  <c r="E70" i="4"/>
  <c r="E69" i="4"/>
  <c r="E68" i="4"/>
  <c r="E67" i="4"/>
  <c r="E66" i="4"/>
  <c r="E65" i="4"/>
  <c r="E64" i="4"/>
  <c r="D53" i="4"/>
  <c r="E53" i="4" s="1"/>
  <c r="D49" i="4"/>
  <c r="E49" i="4" s="1"/>
  <c r="D44" i="4"/>
  <c r="E44" i="4" s="1"/>
  <c r="D41" i="4"/>
  <c r="E41" i="4" s="1"/>
  <c r="D40" i="4"/>
  <c r="E40" i="4" s="1"/>
  <c r="D39" i="4"/>
  <c r="E39" i="4" s="1"/>
  <c r="D38" i="4"/>
  <c r="E38" i="4" s="1"/>
  <c r="D37" i="4"/>
  <c r="E37" i="4" s="1"/>
  <c r="D36" i="4"/>
  <c r="E36" i="4" s="1"/>
  <c r="D35" i="4"/>
  <c r="E35" i="4" s="1"/>
  <c r="D32" i="4"/>
  <c r="D31" i="4"/>
  <c r="D30" i="4"/>
  <c r="D29" i="4"/>
  <c r="D28" i="4"/>
  <c r="D27" i="4"/>
  <c r="D26" i="4"/>
  <c r="D22" i="4"/>
  <c r="D21" i="4"/>
  <c r="D20" i="4"/>
  <c r="D19" i="4"/>
  <c r="D14" i="4"/>
  <c r="D13" i="4"/>
  <c r="H31" i="3"/>
  <c r="G31" i="3"/>
  <c r="H19" i="3"/>
  <c r="J19" i="3"/>
  <c r="I19" i="3"/>
  <c r="J24" i="3"/>
  <c r="I24" i="3"/>
  <c r="H24" i="3"/>
  <c r="J27" i="3"/>
  <c r="I27" i="3"/>
  <c r="H27" i="3"/>
  <c r="F27" i="3" s="1"/>
  <c r="J31" i="3"/>
  <c r="I31" i="3"/>
  <c r="G33" i="3"/>
  <c r="G19" i="3"/>
  <c r="J8" i="3"/>
  <c r="I8" i="3"/>
  <c r="H8" i="3"/>
  <c r="F14" i="3"/>
  <c r="G8" i="3"/>
  <c r="D95" i="3"/>
  <c r="E95" i="3" s="1"/>
  <c r="E83" i="3" s="1"/>
  <c r="E94" i="3"/>
  <c r="D93" i="3"/>
  <c r="E93" i="3" s="1"/>
  <c r="D92" i="3"/>
  <c r="E92" i="3" s="1"/>
  <c r="D91" i="3"/>
  <c r="E91" i="3" s="1"/>
  <c r="D87" i="3"/>
  <c r="D86" i="3"/>
  <c r="D85" i="3"/>
  <c r="D84" i="3"/>
  <c r="G71" i="3"/>
  <c r="E60" i="8" l="1"/>
  <c r="D37" i="8"/>
  <c r="C37" i="8"/>
  <c r="E37" i="8"/>
  <c r="F17" i="10"/>
  <c r="D60" i="4"/>
  <c r="G50" i="8"/>
  <c r="E25" i="8"/>
  <c r="D90" i="3"/>
  <c r="E90" i="3" s="1"/>
  <c r="F8" i="3"/>
  <c r="E10" i="9"/>
  <c r="E33" i="7"/>
  <c r="D83" i="3"/>
  <c r="E15" i="10"/>
  <c r="F15" i="10" s="1"/>
  <c r="E67" i="8"/>
  <c r="E12" i="8"/>
  <c r="F39" i="3"/>
  <c r="D7" i="11"/>
  <c r="F7" i="11" s="1"/>
  <c r="C25" i="11"/>
  <c r="D19" i="11"/>
  <c r="C32" i="11"/>
  <c r="D16" i="11"/>
  <c r="C13" i="11"/>
  <c r="D13" i="11" s="1"/>
  <c r="D23" i="11"/>
  <c r="D99" i="4"/>
  <c r="E99" i="4" s="1"/>
  <c r="D93" i="4"/>
  <c r="E93" i="4" s="1"/>
  <c r="E17" i="8"/>
  <c r="E6" i="8"/>
  <c r="D75" i="8"/>
  <c r="E75" i="8" s="1"/>
  <c r="E30" i="7"/>
  <c r="D34" i="4"/>
  <c r="E34" i="4" s="1"/>
  <c r="D35" i="7" l="1"/>
  <c r="E38" i="7"/>
  <c r="D45" i="4"/>
  <c r="E45" i="4" s="1"/>
  <c r="D8" i="9"/>
  <c r="E9" i="9"/>
  <c r="D98" i="4"/>
  <c r="E98" i="4" s="1"/>
  <c r="D32" i="11"/>
  <c r="D94" i="4"/>
  <c r="E94" i="4" s="1"/>
  <c r="D25" i="11"/>
  <c r="D52" i="4"/>
  <c r="E52" i="4" s="1"/>
  <c r="E8" i="9" l="1"/>
  <c r="E35" i="7"/>
  <c r="D43" i="7"/>
  <c r="D43" i="4"/>
  <c r="E43" i="4" s="1"/>
  <c r="E80" i="3"/>
  <c r="E74" i="3"/>
  <c r="E73" i="3"/>
  <c r="E72" i="3"/>
  <c r="E71" i="3"/>
  <c r="E69" i="3"/>
  <c r="E68" i="3"/>
  <c r="E66" i="3"/>
  <c r="E65" i="3"/>
  <c r="E63" i="3"/>
  <c r="E62" i="3"/>
  <c r="E61" i="3"/>
  <c r="E60" i="3"/>
  <c r="E58" i="3"/>
  <c r="E57" i="3"/>
  <c r="E56" i="3"/>
  <c r="E55" i="3"/>
  <c r="E54" i="3"/>
  <c r="E87" i="3" s="1"/>
  <c r="E53" i="3"/>
  <c r="E85" i="3" s="1"/>
  <c r="E51" i="3"/>
  <c r="E50" i="3"/>
  <c r="E86" i="3" s="1"/>
  <c r="E49" i="3"/>
  <c r="E84" i="3" s="1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32" i="4" s="1"/>
  <c r="E28" i="3"/>
  <c r="E31" i="4" s="1"/>
  <c r="E27" i="3"/>
  <c r="E30" i="4" s="1"/>
  <c r="E26" i="3"/>
  <c r="E29" i="4" s="1"/>
  <c r="E25" i="3"/>
  <c r="E28" i="4" s="1"/>
  <c r="E24" i="3"/>
  <c r="E27" i="4" s="1"/>
  <c r="E23" i="3"/>
  <c r="E26" i="4" s="1"/>
  <c r="E22" i="3"/>
  <c r="E25" i="4" s="1"/>
  <c r="E21" i="3"/>
  <c r="E24" i="4" s="1"/>
  <c r="E20" i="3"/>
  <c r="E23" i="4" s="1"/>
  <c r="E19" i="3"/>
  <c r="E22" i="4" s="1"/>
  <c r="E18" i="3"/>
  <c r="E21" i="4" s="1"/>
  <c r="E15" i="3"/>
  <c r="E18" i="4" s="1"/>
  <c r="E14" i="3"/>
  <c r="E17" i="4" s="1"/>
  <c r="E13" i="3"/>
  <c r="E16" i="4" s="1"/>
  <c r="E12" i="3"/>
  <c r="E15" i="4" s="1"/>
  <c r="E11" i="3"/>
  <c r="E14" i="4" s="1"/>
  <c r="E10" i="3"/>
  <c r="E13" i="4" s="1"/>
  <c r="E9" i="3"/>
  <c r="E12" i="4" s="1"/>
  <c r="E8" i="3"/>
  <c r="E11" i="4" s="1"/>
  <c r="D67" i="3"/>
  <c r="D24" i="4" s="1"/>
  <c r="D64" i="3"/>
  <c r="E64" i="3" s="1"/>
  <c r="D52" i="3"/>
  <c r="D17" i="3"/>
  <c r="D12" i="4" s="1"/>
  <c r="D7" i="3"/>
  <c r="D10" i="4" s="1"/>
  <c r="E43" i="7" l="1"/>
  <c r="D46" i="4"/>
  <c r="E46" i="4" s="1"/>
  <c r="D15" i="4"/>
  <c r="D96" i="3"/>
  <c r="E96" i="3" s="1"/>
  <c r="E67" i="3"/>
  <c r="D43" i="8"/>
  <c r="D23" i="4"/>
  <c r="E7" i="9"/>
  <c r="E7" i="3"/>
  <c r="E10" i="4" s="1"/>
  <c r="E52" i="3"/>
  <c r="E17" i="3"/>
  <c r="E20" i="4" s="1"/>
  <c r="D79" i="3"/>
  <c r="E79" i="3" s="1"/>
  <c r="J10" i="9"/>
  <c r="I10" i="9"/>
  <c r="H10" i="9"/>
  <c r="G10" i="9"/>
  <c r="J7" i="9"/>
  <c r="I7" i="9"/>
  <c r="H7" i="9"/>
  <c r="G7" i="9"/>
  <c r="J6" i="9"/>
  <c r="I6" i="9"/>
  <c r="H6" i="9"/>
  <c r="G6" i="9"/>
  <c r="H9" i="21"/>
  <c r="H8" i="21"/>
  <c r="H7" i="21"/>
  <c r="I10" i="21"/>
  <c r="D97" i="3" l="1"/>
  <c r="E97" i="3" s="1"/>
  <c r="D5" i="9"/>
  <c r="E5" i="9" s="1"/>
  <c r="E6" i="9"/>
  <c r="D39" i="8"/>
  <c r="D79" i="8" s="1"/>
  <c r="F77" i="8" s="1"/>
  <c r="E43" i="8"/>
  <c r="G5" i="9"/>
  <c r="D56" i="8" l="1"/>
  <c r="D76" i="8" s="1"/>
  <c r="E39" i="8"/>
  <c r="E77" i="3"/>
  <c r="G77" i="8" l="1"/>
  <c r="E79" i="8"/>
  <c r="D51" i="4"/>
  <c r="E51" i="4" s="1"/>
  <c r="E56" i="8"/>
  <c r="E76" i="8"/>
  <c r="J36" i="15"/>
  <c r="J35" i="15"/>
  <c r="J34" i="15"/>
  <c r="J32" i="15"/>
  <c r="J31" i="15"/>
  <c r="J30" i="15"/>
  <c r="J29" i="15"/>
  <c r="J28" i="15"/>
  <c r="J25" i="15"/>
  <c r="J22" i="15"/>
  <c r="J21" i="15"/>
  <c r="J20" i="15"/>
  <c r="J19" i="15"/>
  <c r="J18" i="15"/>
  <c r="J17" i="15"/>
  <c r="J16" i="15"/>
  <c r="C95" i="4"/>
  <c r="B7" i="11"/>
  <c r="D17" i="10"/>
  <c r="C62" i="4" s="1"/>
  <c r="E62" i="4" s="1"/>
  <c r="D13" i="10"/>
  <c r="D12" i="10"/>
  <c r="C61" i="4" s="1"/>
  <c r="D17" i="7"/>
  <c r="E17" i="7" s="1"/>
  <c r="D16" i="7"/>
  <c r="E16" i="7" s="1"/>
  <c r="D15" i="7"/>
  <c r="E15" i="7" s="1"/>
  <c r="D14" i="7"/>
  <c r="E14" i="7" s="1"/>
  <c r="D13" i="7"/>
  <c r="E13" i="7" s="1"/>
  <c r="D12" i="7"/>
  <c r="E12" i="7" s="1"/>
  <c r="D11" i="7"/>
  <c r="E11" i="7" s="1"/>
  <c r="D10" i="7"/>
  <c r="E10" i="7" s="1"/>
  <c r="D9" i="7"/>
  <c r="E9" i="7" s="1"/>
  <c r="D8" i="7"/>
  <c r="E8" i="7" s="1"/>
  <c r="E85" i="4"/>
  <c r="D85" i="4"/>
  <c r="E84" i="4"/>
  <c r="D84" i="4"/>
  <c r="E83" i="4"/>
  <c r="D83" i="4"/>
  <c r="E82" i="4"/>
  <c r="D82" i="4"/>
  <c r="E81" i="4"/>
  <c r="D81" i="4"/>
  <c r="E80" i="4"/>
  <c r="D80" i="4"/>
  <c r="E79" i="4"/>
  <c r="D79" i="4"/>
  <c r="E78" i="4"/>
  <c r="D78" i="4"/>
  <c r="D75" i="4"/>
  <c r="E75" i="4" s="1"/>
  <c r="D74" i="4"/>
  <c r="E74" i="4" s="1"/>
  <c r="D71" i="4"/>
  <c r="D73" i="4" s="1"/>
  <c r="E73" i="4" s="1"/>
  <c r="F96" i="4"/>
  <c r="C96" i="4"/>
  <c r="F95" i="4"/>
  <c r="F92" i="4"/>
  <c r="F91" i="4"/>
  <c r="F90" i="4"/>
  <c r="F89" i="4"/>
  <c r="F88" i="4"/>
  <c r="F87" i="4"/>
  <c r="C97" i="4"/>
  <c r="C92" i="4"/>
  <c r="C91" i="4"/>
  <c r="C90" i="4"/>
  <c r="C89" i="4"/>
  <c r="C88" i="4"/>
  <c r="C82" i="4"/>
  <c r="C78" i="4"/>
  <c r="G12" i="10"/>
  <c r="C73" i="4"/>
  <c r="C56" i="4"/>
  <c r="F44" i="4"/>
  <c r="F41" i="4"/>
  <c r="F40" i="4"/>
  <c r="F39" i="4"/>
  <c r="F38" i="4"/>
  <c r="F37" i="4"/>
  <c r="C53" i="4"/>
  <c r="C49" i="4"/>
  <c r="C48" i="4"/>
  <c r="C44" i="4"/>
  <c r="C41" i="4"/>
  <c r="C40" i="4"/>
  <c r="C39" i="4"/>
  <c r="C38" i="4"/>
  <c r="C37" i="4"/>
  <c r="C36" i="4"/>
  <c r="C35" i="4"/>
  <c r="C31" i="4"/>
  <c r="C28" i="4"/>
  <c r="C27" i="4"/>
  <c r="C26" i="4"/>
  <c r="C22" i="4"/>
  <c r="C21" i="4"/>
  <c r="C20" i="4"/>
  <c r="C19" i="4"/>
  <c r="C13" i="4"/>
  <c r="O24" i="15"/>
  <c r="P24" i="15" s="1"/>
  <c r="O15" i="15"/>
  <c r="P15" i="15" s="1"/>
  <c r="N10" i="15"/>
  <c r="C37" i="15"/>
  <c r="I36" i="15"/>
  <c r="N36" i="15" s="1"/>
  <c r="I35" i="15"/>
  <c r="M35" i="15" s="1"/>
  <c r="I34" i="15"/>
  <c r="N34" i="15" s="1"/>
  <c r="I32" i="15"/>
  <c r="N32" i="15" s="1"/>
  <c r="I25" i="15"/>
  <c r="L25" i="15" s="1"/>
  <c r="C23" i="15"/>
  <c r="I22" i="15"/>
  <c r="N22" i="15" s="1"/>
  <c r="I21" i="15"/>
  <c r="N21" i="15" s="1"/>
  <c r="I20" i="15"/>
  <c r="L20" i="15" s="1"/>
  <c r="I19" i="15"/>
  <c r="N19" i="15" s="1"/>
  <c r="I18" i="15"/>
  <c r="N18" i="15" s="1"/>
  <c r="I17" i="15"/>
  <c r="L17" i="15" s="1"/>
  <c r="I16" i="15"/>
  <c r="N16" i="15" s="1"/>
  <c r="C14" i="15"/>
  <c r="I13" i="15"/>
  <c r="K13" i="15" s="1"/>
  <c r="I12" i="15"/>
  <c r="K12" i="15" s="1"/>
  <c r="I11" i="15"/>
  <c r="N11" i="15" s="1"/>
  <c r="G7" i="11" l="1"/>
  <c r="B25" i="11"/>
  <c r="M20" i="15"/>
  <c r="K21" i="15"/>
  <c r="L36" i="15"/>
  <c r="I14" i="15"/>
  <c r="L12" i="15"/>
  <c r="N12" i="15"/>
  <c r="J23" i="15"/>
  <c r="M12" i="15"/>
  <c r="O12" i="15" s="1"/>
  <c r="P12" i="15" s="1"/>
  <c r="N35" i="15"/>
  <c r="C38" i="15"/>
  <c r="L13" i="15"/>
  <c r="M13" i="15"/>
  <c r="L9" i="15"/>
  <c r="N25" i="15"/>
  <c r="N9" i="15"/>
  <c r="J37" i="15"/>
  <c r="M9" i="15"/>
  <c r="K18" i="15"/>
  <c r="C94" i="4"/>
  <c r="N17" i="15"/>
  <c r="N20" i="15"/>
  <c r="K32" i="15"/>
  <c r="K36" i="15"/>
  <c r="L18" i="15"/>
  <c r="L21" i="15"/>
  <c r="M32" i="15"/>
  <c r="M36" i="15"/>
  <c r="L32" i="15"/>
  <c r="M18" i="15"/>
  <c r="M21" i="15"/>
  <c r="N13" i="15"/>
  <c r="K34" i="15"/>
  <c r="K25" i="15"/>
  <c r="L10" i="15"/>
  <c r="K16" i="15"/>
  <c r="K19" i="15"/>
  <c r="K22" i="15"/>
  <c r="L34" i="15"/>
  <c r="K10" i="15"/>
  <c r="M10" i="15"/>
  <c r="L16" i="15"/>
  <c r="L19" i="15"/>
  <c r="L22" i="15"/>
  <c r="M34" i="15"/>
  <c r="M16" i="15"/>
  <c r="M19" i="15"/>
  <c r="M22" i="15"/>
  <c r="M25" i="15"/>
  <c r="M11" i="15"/>
  <c r="K35" i="15"/>
  <c r="B13" i="11"/>
  <c r="M17" i="15"/>
  <c r="K11" i="15"/>
  <c r="L11" i="15"/>
  <c r="K17" i="15"/>
  <c r="K20" i="15"/>
  <c r="L35" i="15"/>
  <c r="E71" i="4"/>
  <c r="E12" i="10"/>
  <c r="K9" i="15"/>
  <c r="F61" i="4"/>
  <c r="E76" i="4"/>
  <c r="F65" i="4"/>
  <c r="F64" i="4" s="1"/>
  <c r="G17" i="10"/>
  <c r="C87" i="4"/>
  <c r="C98" i="4"/>
  <c r="I23" i="15"/>
  <c r="I28" i="15"/>
  <c r="I29" i="15"/>
  <c r="I30" i="15"/>
  <c r="I31" i="15"/>
  <c r="F6" i="9"/>
  <c r="F78" i="8"/>
  <c r="F53" i="4" s="1"/>
  <c r="C67" i="8"/>
  <c r="F74" i="8"/>
  <c r="F73" i="8"/>
  <c r="F72" i="8"/>
  <c r="F71" i="8"/>
  <c r="F70" i="8"/>
  <c r="F69" i="8"/>
  <c r="F68" i="8"/>
  <c r="F67" i="8"/>
  <c r="F66" i="8"/>
  <c r="J65" i="8"/>
  <c r="I65" i="8"/>
  <c r="H65" i="8"/>
  <c r="G65" i="8"/>
  <c r="C65" i="8"/>
  <c r="G58" i="8"/>
  <c r="G75" i="8" s="1"/>
  <c r="F64" i="8"/>
  <c r="F63" i="8"/>
  <c r="F62" i="8"/>
  <c r="F61" i="8"/>
  <c r="F59" i="8"/>
  <c r="F53" i="8"/>
  <c r="J60" i="8"/>
  <c r="I60" i="8"/>
  <c r="H60" i="8"/>
  <c r="G60" i="8"/>
  <c r="F60" i="8" s="1"/>
  <c r="J58" i="8"/>
  <c r="J75" i="8" s="1"/>
  <c r="I58" i="8"/>
  <c r="I75" i="8" s="1"/>
  <c r="H58" i="8"/>
  <c r="F58" i="8" s="1"/>
  <c r="C60" i="8"/>
  <c r="C58" i="8" s="1"/>
  <c r="C75" i="8" s="1"/>
  <c r="C52" i="4" s="1"/>
  <c r="F55" i="8"/>
  <c r="F54" i="8"/>
  <c r="F52" i="8"/>
  <c r="F51" i="8"/>
  <c r="F49" i="8"/>
  <c r="C47" i="8"/>
  <c r="O21" i="15" l="1"/>
  <c r="P21" i="15" s="1"/>
  <c r="O35" i="15"/>
  <c r="P35" i="15" s="1"/>
  <c r="O32" i="15"/>
  <c r="P32" i="15" s="1"/>
  <c r="L14" i="15"/>
  <c r="G42" i="15" s="1"/>
  <c r="H25" i="3" s="1"/>
  <c r="N14" i="15"/>
  <c r="I42" i="15" s="1"/>
  <c r="J25" i="3" s="1"/>
  <c r="N23" i="15"/>
  <c r="O36" i="15"/>
  <c r="P36" i="15" s="1"/>
  <c r="M14" i="15"/>
  <c r="H42" i="15" s="1"/>
  <c r="I25" i="3" s="1"/>
  <c r="O18" i="15"/>
  <c r="P18" i="15" s="1"/>
  <c r="O11" i="15"/>
  <c r="P11" i="15" s="1"/>
  <c r="E22" i="11" s="1"/>
  <c r="L23" i="15"/>
  <c r="O34" i="15"/>
  <c r="P34" i="15" s="1"/>
  <c r="K14" i="15"/>
  <c r="O9" i="15"/>
  <c r="P9" i="15" s="1"/>
  <c r="O10" i="15"/>
  <c r="P10" i="15" s="1"/>
  <c r="D61" i="4"/>
  <c r="E61" i="4" s="1"/>
  <c r="F12" i="10"/>
  <c r="O13" i="15"/>
  <c r="P13" i="15" s="1"/>
  <c r="O25" i="15"/>
  <c r="P25" i="15" s="1"/>
  <c r="O22" i="15"/>
  <c r="P22" i="15" s="1"/>
  <c r="I37" i="15"/>
  <c r="I38" i="15" s="1"/>
  <c r="K28" i="15"/>
  <c r="M28" i="15"/>
  <c r="M37" i="15" s="1"/>
  <c r="N28" i="15"/>
  <c r="L28" i="15"/>
  <c r="O19" i="15"/>
  <c r="P19" i="15" s="1"/>
  <c r="M31" i="15"/>
  <c r="L31" i="15"/>
  <c r="K31" i="15"/>
  <c r="N31" i="15"/>
  <c r="N30" i="15"/>
  <c r="M30" i="15"/>
  <c r="L30" i="15"/>
  <c r="K30" i="15"/>
  <c r="O30" i="15" s="1"/>
  <c r="P30" i="15" s="1"/>
  <c r="H75" i="8"/>
  <c r="F75" i="8" s="1"/>
  <c r="F52" i="4" s="1"/>
  <c r="O20" i="15"/>
  <c r="P20" i="15" s="1"/>
  <c r="K23" i="15"/>
  <c r="O16" i="15"/>
  <c r="P16" i="15" s="1"/>
  <c r="L29" i="15"/>
  <c r="N29" i="15"/>
  <c r="M29" i="15"/>
  <c r="K29" i="15"/>
  <c r="O17" i="15"/>
  <c r="P17" i="15" s="1"/>
  <c r="M23" i="15"/>
  <c r="F62" i="4"/>
  <c r="F65" i="8"/>
  <c r="N37" i="15" l="1"/>
  <c r="I43" i="15" s="1"/>
  <c r="J11" i="3" s="1"/>
  <c r="O23" i="15"/>
  <c r="P23" i="15" s="1"/>
  <c r="F42" i="15"/>
  <c r="O14" i="15"/>
  <c r="P14" i="15" s="1"/>
  <c r="E23" i="11" s="1"/>
  <c r="E32" i="11" s="1"/>
  <c r="H43" i="15"/>
  <c r="I11" i="3" s="1"/>
  <c r="L37" i="15"/>
  <c r="G43" i="15" s="1"/>
  <c r="H11" i="3" s="1"/>
  <c r="O28" i="15"/>
  <c r="P28" i="15" s="1"/>
  <c r="E31" i="11"/>
  <c r="E28" i="11" s="1"/>
  <c r="F97" i="4" s="1"/>
  <c r="E16" i="11"/>
  <c r="O29" i="15"/>
  <c r="P29" i="15" s="1"/>
  <c r="O31" i="15"/>
  <c r="P31" i="15" s="1"/>
  <c r="K37" i="15"/>
  <c r="F45" i="8"/>
  <c r="F44" i="8"/>
  <c r="F42" i="8"/>
  <c r="F41" i="8"/>
  <c r="F40" i="8"/>
  <c r="F46" i="8"/>
  <c r="I26" i="8"/>
  <c r="H26" i="8"/>
  <c r="G26" i="8"/>
  <c r="J21" i="8"/>
  <c r="C50" i="4"/>
  <c r="J12" i="8"/>
  <c r="I12" i="8"/>
  <c r="H12" i="8"/>
  <c r="G12" i="8"/>
  <c r="C30" i="7"/>
  <c r="C42" i="4" s="1"/>
  <c r="J33" i="7"/>
  <c r="I33" i="7"/>
  <c r="F33" i="7" s="1"/>
  <c r="I6" i="14"/>
  <c r="I5" i="14"/>
  <c r="F5" i="14"/>
  <c r="J33" i="3"/>
  <c r="I33" i="3"/>
  <c r="H33" i="3"/>
  <c r="C34" i="4"/>
  <c r="F98" i="4" l="1"/>
  <c r="E17" i="11"/>
  <c r="J42" i="15"/>
  <c r="G25" i="3"/>
  <c r="G26" i="3" s="1"/>
  <c r="O37" i="15"/>
  <c r="F43" i="15"/>
  <c r="F19" i="3"/>
  <c r="J93" i="3"/>
  <c r="J19" i="8" s="1"/>
  <c r="I93" i="3"/>
  <c r="I19" i="8" s="1"/>
  <c r="H93" i="3"/>
  <c r="C95" i="3"/>
  <c r="C97" i="3" s="1"/>
  <c r="C87" i="3"/>
  <c r="C86" i="3"/>
  <c r="C85" i="3"/>
  <c r="C84" i="3"/>
  <c r="H19" i="8" l="1"/>
  <c r="H29" i="7"/>
  <c r="J43" i="15"/>
  <c r="J44" i="15" s="1"/>
  <c r="G11" i="3"/>
  <c r="F11" i="3" s="1"/>
  <c r="P37" i="15"/>
  <c r="E24" i="11" s="1"/>
  <c r="O38" i="15"/>
  <c r="P38" i="15" s="1"/>
  <c r="C83" i="3"/>
  <c r="D15" i="10"/>
  <c r="C35" i="7"/>
  <c r="C45" i="4"/>
  <c r="I31" i="7"/>
  <c r="I30" i="8" s="1"/>
  <c r="I34" i="8"/>
  <c r="I29" i="7"/>
  <c r="I31" i="8" s="1"/>
  <c r="H34" i="8"/>
  <c r="H31" i="8"/>
  <c r="H31" i="7"/>
  <c r="H30" i="8" s="1"/>
  <c r="J34" i="8"/>
  <c r="J31" i="7"/>
  <c r="J30" i="8" s="1"/>
  <c r="J29" i="7"/>
  <c r="J31" i="8" s="1"/>
  <c r="I71" i="3"/>
  <c r="H71" i="3"/>
  <c r="J64" i="3"/>
  <c r="J43" i="8" s="1"/>
  <c r="J39" i="8" s="1"/>
  <c r="I64" i="3"/>
  <c r="I43" i="8" s="1"/>
  <c r="I39" i="8" s="1"/>
  <c r="H64" i="3"/>
  <c r="H43" i="8" s="1"/>
  <c r="H39" i="8" s="1"/>
  <c r="G64" i="3"/>
  <c r="C64" i="3"/>
  <c r="J67" i="3"/>
  <c r="I67" i="3"/>
  <c r="H67" i="3"/>
  <c r="G67" i="3"/>
  <c r="C67" i="3"/>
  <c r="C24" i="4" s="1"/>
  <c r="G52" i="3"/>
  <c r="C48" i="3"/>
  <c r="C14" i="4" s="1"/>
  <c r="F48" i="3"/>
  <c r="F25" i="3"/>
  <c r="C15" i="4"/>
  <c r="J15" i="3"/>
  <c r="I15" i="3"/>
  <c r="H15" i="3"/>
  <c r="G15" i="3"/>
  <c r="J95" i="3"/>
  <c r="I95" i="3"/>
  <c r="H95" i="3"/>
  <c r="G95" i="3"/>
  <c r="G83" i="3" s="1"/>
  <c r="J91" i="3"/>
  <c r="H91" i="3"/>
  <c r="F14" i="4" l="1"/>
  <c r="E33" i="11"/>
  <c r="E19" i="11"/>
  <c r="E25" i="11" s="1"/>
  <c r="G93" i="3"/>
  <c r="G29" i="7" s="1"/>
  <c r="G12" i="3"/>
  <c r="F15" i="3"/>
  <c r="F93" i="3"/>
  <c r="F19" i="8" s="1"/>
  <c r="C39" i="8"/>
  <c r="C23" i="4"/>
  <c r="C43" i="7"/>
  <c r="C46" i="4" s="1"/>
  <c r="C43" i="4"/>
  <c r="C17" i="3"/>
  <c r="F24" i="3"/>
  <c r="I91" i="3"/>
  <c r="F64" i="3"/>
  <c r="F23" i="4" s="1"/>
  <c r="G43" i="8"/>
  <c r="G96" i="3"/>
  <c r="C56" i="8" l="1"/>
  <c r="C76" i="8" s="1"/>
  <c r="C79" i="8"/>
  <c r="C12" i="4"/>
  <c r="C79" i="3"/>
  <c r="C54" i="4"/>
  <c r="G19" i="8"/>
  <c r="G31" i="8"/>
  <c r="F31" i="8" s="1"/>
  <c r="G34" i="8"/>
  <c r="G31" i="7"/>
  <c r="G30" i="8" s="1"/>
  <c r="F30" i="8" s="1"/>
  <c r="C51" i="4"/>
  <c r="C10" i="4"/>
  <c r="G91" i="3"/>
  <c r="G39" i="8"/>
  <c r="F39" i="8" s="1"/>
  <c r="F43" i="8"/>
  <c r="C6" i="3" l="1"/>
  <c r="C78" i="3" s="1"/>
  <c r="C77" i="3" s="1"/>
  <c r="C75" i="3" s="1"/>
  <c r="O6" i="14"/>
  <c r="L6" i="14"/>
  <c r="F6" i="14"/>
  <c r="L5" i="14"/>
  <c r="E6" i="3"/>
  <c r="E9" i="4" s="1"/>
  <c r="F99" i="4"/>
  <c r="G24" i="11"/>
  <c r="F24" i="11"/>
  <c r="G23" i="11"/>
  <c r="F23" i="11"/>
  <c r="G22" i="11"/>
  <c r="F22" i="11"/>
  <c r="C93" i="4"/>
  <c r="E18" i="11"/>
  <c r="E13" i="11" s="1"/>
  <c r="G12" i="11"/>
  <c r="F12" i="11"/>
  <c r="G11" i="11"/>
  <c r="F11" i="11"/>
  <c r="G10" i="11"/>
  <c r="F10" i="11"/>
  <c r="J5" i="9"/>
  <c r="I5" i="9"/>
  <c r="H5" i="9"/>
  <c r="F11" i="9"/>
  <c r="F10" i="9"/>
  <c r="F9" i="9"/>
  <c r="F7" i="9"/>
  <c r="J50" i="8"/>
  <c r="J48" i="8" s="1"/>
  <c r="I50" i="8"/>
  <c r="I48" i="8" s="1"/>
  <c r="I47" i="8" s="1"/>
  <c r="H50" i="8"/>
  <c r="F36" i="8"/>
  <c r="F35" i="8"/>
  <c r="F34" i="8"/>
  <c r="F33" i="8"/>
  <c r="F32" i="8"/>
  <c r="I21" i="8"/>
  <c r="H21" i="8"/>
  <c r="G21" i="8"/>
  <c r="F21" i="8"/>
  <c r="F16" i="8"/>
  <c r="F15" i="8"/>
  <c r="F14" i="8"/>
  <c r="F13" i="8"/>
  <c r="F11" i="8"/>
  <c r="F10" i="8"/>
  <c r="F49" i="4" s="1"/>
  <c r="F9" i="8"/>
  <c r="F8" i="8"/>
  <c r="H30" i="7"/>
  <c r="F31" i="7"/>
  <c r="I30" i="7"/>
  <c r="G30" i="7"/>
  <c r="F29" i="7"/>
  <c r="C334" i="6"/>
  <c r="A333" i="6"/>
  <c r="A335" i="6" s="1"/>
  <c r="F5" i="6"/>
  <c r="J83" i="3"/>
  <c r="I83" i="3"/>
  <c r="H83" i="3"/>
  <c r="J87" i="3"/>
  <c r="I87" i="3"/>
  <c r="H87" i="3"/>
  <c r="G87" i="3"/>
  <c r="J86" i="3"/>
  <c r="I86" i="3"/>
  <c r="H86" i="3"/>
  <c r="G86" i="3"/>
  <c r="J85" i="3"/>
  <c r="I85" i="3"/>
  <c r="H85" i="3"/>
  <c r="G85" i="3"/>
  <c r="J84" i="3"/>
  <c r="I84" i="3"/>
  <c r="H84" i="3"/>
  <c r="G84" i="3"/>
  <c r="F80" i="3"/>
  <c r="F74" i="3"/>
  <c r="F29" i="4" s="1"/>
  <c r="C29" i="4"/>
  <c r="F73" i="3"/>
  <c r="F28" i="4" s="1"/>
  <c r="F72" i="3"/>
  <c r="F27" i="4" s="1"/>
  <c r="F69" i="3"/>
  <c r="F68" i="3"/>
  <c r="F67" i="3"/>
  <c r="F24" i="4" s="1"/>
  <c r="F66" i="3"/>
  <c r="F65" i="3"/>
  <c r="F63" i="3"/>
  <c r="F22" i="4" s="1"/>
  <c r="F62" i="3"/>
  <c r="F21" i="4" s="1"/>
  <c r="F61" i="3"/>
  <c r="F20" i="4" s="1"/>
  <c r="F60" i="3"/>
  <c r="F19" i="4" s="1"/>
  <c r="F56" i="3"/>
  <c r="F55" i="3"/>
  <c r="F54" i="3"/>
  <c r="F87" i="3" s="1"/>
  <c r="F53" i="3"/>
  <c r="F85" i="3" s="1"/>
  <c r="J52" i="3"/>
  <c r="J96" i="3" s="1"/>
  <c r="I52" i="3"/>
  <c r="I96" i="3" s="1"/>
  <c r="H52" i="3"/>
  <c r="F51" i="3"/>
  <c r="F50" i="3"/>
  <c r="F86" i="3" s="1"/>
  <c r="F49" i="3"/>
  <c r="F84" i="3" s="1"/>
  <c r="F47" i="3"/>
  <c r="F46" i="3"/>
  <c r="F45" i="3"/>
  <c r="F44" i="3"/>
  <c r="F43" i="3"/>
  <c r="F42" i="3"/>
  <c r="F41" i="3"/>
  <c r="F40" i="3"/>
  <c r="F13" i="4" s="1"/>
  <c r="F38" i="3"/>
  <c r="F37" i="3"/>
  <c r="F36" i="3"/>
  <c r="F35" i="3"/>
  <c r="F34" i="3"/>
  <c r="F33" i="3"/>
  <c r="F32" i="3"/>
  <c r="F31" i="3"/>
  <c r="F30" i="3"/>
  <c r="F29" i="3"/>
  <c r="F28" i="3"/>
  <c r="F95" i="3"/>
  <c r="J26" i="3"/>
  <c r="I26" i="3"/>
  <c r="I17" i="3" s="1"/>
  <c r="H26" i="3"/>
  <c r="G17" i="3"/>
  <c r="F23" i="3"/>
  <c r="F22" i="3"/>
  <c r="F21" i="3"/>
  <c r="F20" i="3"/>
  <c r="F18" i="3"/>
  <c r="J12" i="3"/>
  <c r="I12" i="3"/>
  <c r="H12" i="3"/>
  <c r="B14" i="6" l="1"/>
  <c r="E19" i="6"/>
  <c r="J10" i="3" s="1"/>
  <c r="E14" i="6"/>
  <c r="C15" i="6"/>
  <c r="B15" i="6"/>
  <c r="D19" i="6"/>
  <c r="I10" i="3" s="1"/>
  <c r="D14" i="6"/>
  <c r="I9" i="3" s="1"/>
  <c r="C19" i="6"/>
  <c r="H10" i="3" s="1"/>
  <c r="C14" i="6"/>
  <c r="C18" i="6"/>
  <c r="E15" i="6"/>
  <c r="B19" i="6"/>
  <c r="G10" i="3" s="1"/>
  <c r="E18" i="6"/>
  <c r="D8" i="6"/>
  <c r="I6" i="3" s="1"/>
  <c r="F6" i="3" s="1"/>
  <c r="D15" i="6"/>
  <c r="D18" i="6"/>
  <c r="B18" i="6"/>
  <c r="E9" i="10"/>
  <c r="D9" i="4"/>
  <c r="E16" i="10" s="1"/>
  <c r="F16" i="10" s="1"/>
  <c r="D78" i="3"/>
  <c r="E78" i="3" s="1"/>
  <c r="D16" i="3"/>
  <c r="C9" i="4"/>
  <c r="D16" i="10" s="1"/>
  <c r="F5" i="9"/>
  <c r="F56" i="4" s="1"/>
  <c r="G15" i="10" s="1"/>
  <c r="C16" i="3"/>
  <c r="D5" i="10" s="1"/>
  <c r="F93" i="4"/>
  <c r="G94" i="3"/>
  <c r="G20" i="8" s="1"/>
  <c r="I94" i="3"/>
  <c r="I20" i="8" s="1"/>
  <c r="H17" i="3"/>
  <c r="H94" i="3"/>
  <c r="H20" i="8" s="1"/>
  <c r="J94" i="3"/>
  <c r="J20" i="8" s="1"/>
  <c r="H48" i="8"/>
  <c r="F48" i="8" s="1"/>
  <c r="F50" i="8"/>
  <c r="J47" i="8"/>
  <c r="J56" i="8" s="1"/>
  <c r="I56" i="8"/>
  <c r="F12" i="8"/>
  <c r="H96" i="3"/>
  <c r="F52" i="3"/>
  <c r="F15" i="4" s="1"/>
  <c r="B6" i="14"/>
  <c r="B8" i="14" s="1"/>
  <c r="F12" i="3"/>
  <c r="F13" i="11"/>
  <c r="F16" i="11"/>
  <c r="F17" i="11"/>
  <c r="F18" i="11"/>
  <c r="F19" i="11"/>
  <c r="F32" i="11"/>
  <c r="G33" i="11"/>
  <c r="F29" i="11"/>
  <c r="F33" i="11"/>
  <c r="G13" i="11"/>
  <c r="G16" i="11"/>
  <c r="G17" i="11"/>
  <c r="G18" i="11"/>
  <c r="G19" i="11"/>
  <c r="F94" i="4"/>
  <c r="G29" i="11"/>
  <c r="G32" i="11"/>
  <c r="F26" i="3"/>
  <c r="C333" i="6"/>
  <c r="F83" i="3"/>
  <c r="H9" i="3" l="1"/>
  <c r="J9" i="3"/>
  <c r="F9" i="4"/>
  <c r="F78" i="3"/>
  <c r="G9" i="3"/>
  <c r="F9" i="3" s="1"/>
  <c r="F94" i="3"/>
  <c r="F20" i="8" s="1"/>
  <c r="E16" i="3"/>
  <c r="E19" i="4" s="1"/>
  <c r="D11" i="4"/>
  <c r="E5" i="10"/>
  <c r="F5" i="10" s="1"/>
  <c r="D59" i="3"/>
  <c r="F9" i="10"/>
  <c r="D58" i="4"/>
  <c r="E58" i="4" s="1"/>
  <c r="D7" i="6"/>
  <c r="C7" i="6"/>
  <c r="F6" i="6"/>
  <c r="H47" i="8"/>
  <c r="H56" i="8" s="1"/>
  <c r="C32" i="4"/>
  <c r="C6" i="7"/>
  <c r="C18" i="7" s="1"/>
  <c r="C59" i="3"/>
  <c r="C11" i="4"/>
  <c r="F91" i="3"/>
  <c r="J38" i="7"/>
  <c r="J35" i="7" s="1"/>
  <c r="H38" i="7"/>
  <c r="H35" i="7" s="1"/>
  <c r="I38" i="7"/>
  <c r="I35" i="7" s="1"/>
  <c r="G38" i="7"/>
  <c r="G31" i="11"/>
  <c r="F25" i="11"/>
  <c r="G25" i="11"/>
  <c r="F8" i="9"/>
  <c r="D82" i="3" l="1"/>
  <c r="D88" i="3" s="1"/>
  <c r="D16" i="4"/>
  <c r="E59" i="3"/>
  <c r="E82" i="3" s="1"/>
  <c r="E88" i="3" s="1"/>
  <c r="D70" i="3"/>
  <c r="E7" i="6"/>
  <c r="F10" i="3" s="1"/>
  <c r="I7" i="8"/>
  <c r="I6" i="8" s="1"/>
  <c r="I78" i="3"/>
  <c r="B16" i="6"/>
  <c r="D9" i="10"/>
  <c r="C58" i="4" s="1"/>
  <c r="C30" i="4"/>
  <c r="D8" i="10"/>
  <c r="C60" i="4" s="1"/>
  <c r="E60" i="4" s="1"/>
  <c r="D7" i="10"/>
  <c r="C59" i="4" s="1"/>
  <c r="C16" i="4"/>
  <c r="C82" i="3"/>
  <c r="C88" i="3" s="1"/>
  <c r="C70" i="3"/>
  <c r="C25" i="4" s="1"/>
  <c r="F38" i="7"/>
  <c r="G35" i="7"/>
  <c r="G28" i="11"/>
  <c r="D25" i="4" l="1"/>
  <c r="E70" i="3"/>
  <c r="D17" i="4"/>
  <c r="E11" i="10" s="1"/>
  <c r="F11" i="10" s="1"/>
  <c r="E6" i="10"/>
  <c r="F6" i="10" s="1"/>
  <c r="N5" i="14"/>
  <c r="H7" i="8"/>
  <c r="H78" i="3"/>
  <c r="E16" i="6"/>
  <c r="D16" i="6"/>
  <c r="C16" i="6"/>
  <c r="G78" i="3"/>
  <c r="J7" i="8"/>
  <c r="J6" i="8" s="1"/>
  <c r="J78" i="3"/>
  <c r="G92" i="3"/>
  <c r="G18" i="8" s="1"/>
  <c r="G7" i="3"/>
  <c r="F35" i="7"/>
  <c r="F43" i="4" s="1"/>
  <c r="F45" i="4"/>
  <c r="D6" i="10"/>
  <c r="C18" i="4" s="1"/>
  <c r="C17" i="4"/>
  <c r="D11" i="10" s="1"/>
  <c r="H6" i="8" l="1"/>
  <c r="F7" i="8"/>
  <c r="F6" i="8" s="1"/>
  <c r="O5" i="14"/>
  <c r="I7" i="3"/>
  <c r="I92" i="3"/>
  <c r="I18" i="8" s="1"/>
  <c r="F92" i="3"/>
  <c r="F90" i="3" s="1"/>
  <c r="G16" i="10"/>
  <c r="G6" i="8"/>
  <c r="H7" i="3"/>
  <c r="H92" i="3"/>
  <c r="H18" i="8" s="1"/>
  <c r="J7" i="3"/>
  <c r="J92" i="3"/>
  <c r="J18" i="8" s="1"/>
  <c r="G16" i="3"/>
  <c r="G59" i="3" s="1"/>
  <c r="G79" i="3"/>
  <c r="G76" i="3" s="1"/>
  <c r="G90" i="3"/>
  <c r="C8" i="14" l="1"/>
  <c r="H79" i="3"/>
  <c r="H77" i="3" s="1"/>
  <c r="H75" i="3" s="1"/>
  <c r="H16" i="3"/>
  <c r="H59" i="3" s="1"/>
  <c r="I90" i="3"/>
  <c r="I27" i="8" s="1"/>
  <c r="J90" i="3"/>
  <c r="H90" i="3"/>
  <c r="I79" i="3"/>
  <c r="I77" i="3" s="1"/>
  <c r="I75" i="3" s="1"/>
  <c r="I16" i="3"/>
  <c r="I59" i="3" s="1"/>
  <c r="G82" i="3"/>
  <c r="G88" i="3" s="1"/>
  <c r="G70" i="3"/>
  <c r="G97" i="3"/>
  <c r="J16" i="3"/>
  <c r="F13" i="3"/>
  <c r="F7" i="3" s="1"/>
  <c r="F10" i="4" l="1"/>
  <c r="F18" i="8"/>
  <c r="F16" i="3"/>
  <c r="G5" i="10" s="1"/>
  <c r="H97" i="3"/>
  <c r="J27" i="8"/>
  <c r="J97" i="3"/>
  <c r="I70" i="3"/>
  <c r="I82" i="3"/>
  <c r="I88" i="3" s="1"/>
  <c r="I97" i="3"/>
  <c r="H70" i="3"/>
  <c r="H82" i="3"/>
  <c r="H88" i="3" s="1"/>
  <c r="G20" i="7"/>
  <c r="G43" i="7" s="1"/>
  <c r="G27" i="8"/>
  <c r="F22" i="7"/>
  <c r="F36" i="4" s="1"/>
  <c r="F96" i="3"/>
  <c r="J17" i="3"/>
  <c r="J79" i="3" s="1"/>
  <c r="J76" i="3" s="1"/>
  <c r="F17" i="3"/>
  <c r="F79" i="3" s="1"/>
  <c r="F11" i="4" l="1"/>
  <c r="I20" i="7"/>
  <c r="I43" i="7" s="1"/>
  <c r="I25" i="8"/>
  <c r="I17" i="8" s="1"/>
  <c r="I37" i="8" s="1"/>
  <c r="I76" i="8" s="1"/>
  <c r="H27" i="8"/>
  <c r="H25" i="8" s="1"/>
  <c r="H17" i="8" s="1"/>
  <c r="H37" i="8" s="1"/>
  <c r="H76" i="8" s="1"/>
  <c r="H20" i="7"/>
  <c r="H43" i="7" s="1"/>
  <c r="G25" i="8"/>
  <c r="G17" i="8" s="1"/>
  <c r="F12" i="4"/>
  <c r="F97" i="3"/>
  <c r="F59" i="3"/>
  <c r="F70" i="3" s="1"/>
  <c r="J59" i="3"/>
  <c r="J70" i="3" s="1"/>
  <c r="J21" i="7" l="1"/>
  <c r="J71" i="3" s="1"/>
  <c r="F71" i="3" s="1"/>
  <c r="G37" i="8"/>
  <c r="F27" i="8"/>
  <c r="F16" i="4"/>
  <c r="F82" i="3"/>
  <c r="J82" i="3"/>
  <c r="J88" i="3" s="1"/>
  <c r="F76" i="3" l="1"/>
  <c r="F75" i="3" s="1"/>
  <c r="F21" i="7"/>
  <c r="F88" i="3"/>
  <c r="J26" i="8"/>
  <c r="F26" i="8" s="1"/>
  <c r="F25" i="8" s="1"/>
  <c r="F25" i="4"/>
  <c r="G75" i="3" l="1"/>
  <c r="G6" i="7" s="1"/>
  <c r="H6" i="7"/>
  <c r="I6" i="7"/>
  <c r="F32" i="4"/>
  <c r="J25" i="8"/>
  <c r="J17" i="8" s="1"/>
  <c r="J37" i="8" s="1"/>
  <c r="J76" i="8" s="1"/>
  <c r="F26" i="4"/>
  <c r="G6" i="10"/>
  <c r="F17" i="4"/>
  <c r="J20" i="7"/>
  <c r="G18" i="7" l="1"/>
  <c r="H7" i="7" s="1"/>
  <c r="F31" i="4"/>
  <c r="J75" i="3"/>
  <c r="J6" i="7" s="1"/>
  <c r="J34" i="7"/>
  <c r="F17" i="8"/>
  <c r="F37" i="8" s="1"/>
  <c r="F18" i="4"/>
  <c r="D18" i="4"/>
  <c r="F20" i="7"/>
  <c r="F35" i="4"/>
  <c r="G11" i="10"/>
  <c r="F6" i="7" l="1"/>
  <c r="F18" i="7" s="1"/>
  <c r="F30" i="4"/>
  <c r="G8" i="10"/>
  <c r="F60" i="4" s="1"/>
  <c r="G9" i="10"/>
  <c r="F58" i="4" s="1"/>
  <c r="F34" i="7"/>
  <c r="J30" i="7"/>
  <c r="J43" i="7" s="1"/>
  <c r="F34" i="4"/>
  <c r="D50" i="4"/>
  <c r="E50" i="4" s="1"/>
  <c r="F50" i="4"/>
  <c r="G47" i="8"/>
  <c r="G56" i="8" s="1"/>
  <c r="F30" i="7" l="1"/>
  <c r="F42" i="4" s="1"/>
  <c r="F47" i="8"/>
  <c r="F56" i="8" s="1"/>
  <c r="G79" i="8"/>
  <c r="H77" i="8" s="1"/>
  <c r="H79" i="8" s="1"/>
  <c r="I77" i="8" s="1"/>
  <c r="I79" i="8" s="1"/>
  <c r="F51" i="4"/>
  <c r="F43" i="7" l="1"/>
  <c r="F46" i="4" s="1"/>
  <c r="G76" i="8"/>
  <c r="F76" i="8" s="1"/>
  <c r="H18" i="7"/>
  <c r="I7" i="7" s="1"/>
  <c r="I18" i="7" s="1"/>
  <c r="J7" i="7" s="1"/>
  <c r="J18" i="7" s="1"/>
  <c r="J77" i="8" l="1"/>
  <c r="J79" i="8" s="1"/>
  <c r="F79" i="8" l="1"/>
  <c r="D54" i="4" l="1"/>
  <c r="E54" i="4" s="1"/>
  <c r="D48" i="4"/>
  <c r="E48" i="4" s="1"/>
  <c r="F48" i="4"/>
  <c r="F54" i="4"/>
  <c r="F69" i="4" l="1"/>
  <c r="F68" i="4" s="1"/>
  <c r="F70" i="4" s="1"/>
  <c r="G7" i="10" l="1"/>
  <c r="F59" i="4" s="1"/>
  <c r="G13" i="10"/>
  <c r="D59" i="4"/>
  <c r="E59" i="4" s="1"/>
  <c r="D31" i="11" l="1"/>
  <c r="F31" i="11" s="1"/>
  <c r="C28" i="11"/>
  <c r="D97" i="4" s="1"/>
  <c r="E97" i="4" s="1"/>
  <c r="D28" i="11" l="1"/>
  <c r="F28" i="11" s="1"/>
</calcChain>
</file>

<file path=xl/sharedStrings.xml><?xml version="1.0" encoding="utf-8"?>
<sst xmlns="http://schemas.openxmlformats.org/spreadsheetml/2006/main" count="1423" uniqueCount="521">
  <si>
    <t xml:space="preserve"> </t>
  </si>
  <si>
    <t>Код</t>
  </si>
  <si>
    <t>Підприємство   Комунальне  підприємство "Коломиятеплосервіс"</t>
  </si>
  <si>
    <t>за ЄДРПОУ</t>
  </si>
  <si>
    <t>Організаційно-правова форма   комунальне  підприємство</t>
  </si>
  <si>
    <t>за КОПФГ</t>
  </si>
  <si>
    <t>Територія   Івано-Франківська</t>
  </si>
  <si>
    <t>за КОАТУУ</t>
  </si>
  <si>
    <t>Суб'єкт управління</t>
  </si>
  <si>
    <t>за СПОДУ</t>
  </si>
  <si>
    <t>Галузь теплопостачання</t>
  </si>
  <si>
    <t>за ЗКГНГ</t>
  </si>
  <si>
    <t>Вид економічної діяльності  Постачання пари, гарячої води та кондиційованого повітря</t>
  </si>
  <si>
    <t>за КВЕД</t>
  </si>
  <si>
    <t>35.30</t>
  </si>
  <si>
    <t>Середньооблікова кількість штатних працівників  13</t>
  </si>
  <si>
    <t>Місцезнаходження  площа Привокзальна, буд. 15, м. Коломия, Івано-Франківсько обл., 78200</t>
  </si>
  <si>
    <t>Телефон 722441</t>
  </si>
  <si>
    <r>
      <t>Одиниця виміру, тис</t>
    </r>
    <r>
      <rPr>
        <sz val="10"/>
        <color theme="1"/>
        <rFont val="Times New Roman"/>
        <family val="1"/>
        <charset val="204"/>
      </rPr>
      <t xml:space="preserve">. </t>
    </r>
    <r>
      <rPr>
        <sz val="12"/>
        <color theme="1"/>
        <rFont val="Times New Roman"/>
        <family val="1"/>
        <charset val="204"/>
      </rPr>
      <t>грн                                                                                                  Стандарти звітності П(с)БОУ</t>
    </r>
  </si>
  <si>
    <t>Форма власності комунальна                                                                                            Стандарти звітності МСФЗ</t>
  </si>
  <si>
    <t>ФІНАНСОВИЙ ПЛАН</t>
  </si>
  <si>
    <t>Основні фінансові показники</t>
  </si>
  <si>
    <t>Найменування показника</t>
  </si>
  <si>
    <t>Код рядка</t>
  </si>
  <si>
    <t>Факт минулого року</t>
  </si>
  <si>
    <t>Фінансовий план поточного року</t>
  </si>
  <si>
    <t>Прогноз на поточний рік</t>
  </si>
  <si>
    <t>Плановий рік</t>
  </si>
  <si>
    <t>Інформація згідно із стратегічним планом розвитку</t>
  </si>
  <si>
    <t>плановий рік +1 рік</t>
  </si>
  <si>
    <t>плановий рік +2 роки</t>
  </si>
  <si>
    <t>плановий рік +3 роки</t>
  </si>
  <si>
    <t>плановий рік +4 роки</t>
  </si>
  <si>
    <t>I.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</si>
  <si>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</si>
  <si>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</si>
  <si>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</si>
  <si>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-</t>
  </si>
  <si>
    <t>Адміністративні витрати</t>
  </si>
  <si>
    <t>Витрати на збут</t>
  </si>
  <si>
    <t>Інші операційні доходи</t>
  </si>
  <si>
    <t>Інші операційні витрати</t>
  </si>
  <si>
    <t>Фінансовий результат від операційної діяльності</t>
  </si>
  <si>
    <t>EBITDA</t>
  </si>
  <si>
    <t>Рентабельність EBITDA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</si>
  <si>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</si>
  <si>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</si>
  <si>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</si>
  <si>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</si>
  <si>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</t>
  </si>
  <si>
    <t>Інші витрати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</si>
  <si>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</si>
  <si>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</si>
  <si>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</si>
  <si>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</si>
  <si>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</si>
  <si>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( )</t>
  </si>
  <si>
    <t>Чистий фінансовий результат</t>
  </si>
  <si>
    <t xml:space="preserve">Прибуток </t>
  </si>
  <si>
    <t>Збиток</t>
  </si>
  <si>
    <t>II. Розрахунки з бюджетом</t>
  </si>
  <si>
    <t>Сплата податків та зборів до Державного бюджету України (податкові платежі), усього, у тому числі: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</si>
  <si>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</si>
  <si>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</si>
  <si>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</si>
  <si>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акцизний податок</t>
  </si>
  <si>
    <t>відрахування частини чистого прибутку державними унітарними підприємствами та їх об'єднаннями</t>
  </si>
  <si>
    <t>рентна плата за транспортування</t>
  </si>
  <si>
    <t>рентна плата за користування надрами</t>
  </si>
  <si>
    <t>Сплата податків та зборів до місцевих бюджетів (податкові платежі)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</si>
  <si>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</si>
  <si>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 xml:space="preserve">єдиний внесок на загальнообов'язкове державне соціальне страхування </t>
  </si>
  <si>
    <t>Усього виплат на користь держави</t>
  </si>
  <si>
    <t>III. Рух грошових коштів</t>
  </si>
  <si>
    <t>Залишок коштів на початок періоду</t>
  </si>
  <si>
    <t>x</t>
  </si>
  <si>
    <t>Цільове фінансування</t>
  </si>
  <si>
    <t>Чистий рух коштів від операційної діяльності</t>
  </si>
  <si>
    <t xml:space="preserve">Чистий рух коштів від інвестиційної діяльності </t>
  </si>
  <si>
    <t>Чистий рух коштів від фінансової діяльності</t>
  </si>
  <si>
    <t xml:space="preserve">Вплив зміни валютних курсів на залишок коштів </t>
  </si>
  <si>
    <t>Залишок коштів на кінець періоду</t>
  </si>
  <si>
    <t>IV. Капітальні інвестиції</t>
  </si>
  <si>
    <t>Капітальні інвестиції</t>
  </si>
  <si>
    <t>V. Коефіцієнтний аналіз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</si>
  <si>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</si>
  <si>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</si>
  <si>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</si>
  <si>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фінансової стійкості</t>
  </si>
  <si>
    <t>Коефіцієнт зносу основних засобів</t>
  </si>
  <si>
    <t>VI.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</si>
  <si>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</si>
  <si>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</si>
  <si>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</si>
  <si>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</si>
  <si>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</si>
  <si>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</si>
  <si>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</si>
  <si>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</si>
  <si>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</t>
  </si>
  <si>
    <t>Усього зобов'язання і забезпечення</t>
  </si>
  <si>
    <t>У тому числі державні гранти і субсидії</t>
  </si>
  <si>
    <t>У тому числі фінансові запозичення</t>
  </si>
  <si>
    <t>Власний капітал</t>
  </si>
  <si>
    <t>VII. Кредитна політика</t>
  </si>
  <si>
    <t>Отримано залучених коштів, усього, у тому числі:</t>
  </si>
  <si>
    <t>довгострокові зобов'язання</t>
  </si>
  <si>
    <t>короткострокові зобов'язання</t>
  </si>
  <si>
    <t>інші фінансові зобов'язання</t>
  </si>
  <si>
    <t>Повернено залучених коштів, усього, у тому числі:</t>
  </si>
  <si>
    <t>VIII. Дані про персонал та витрати на оплату праці</t>
  </si>
  <si>
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</si>
  <si>
    <t>члени наглядової ради</t>
  </si>
  <si>
    <t>члени правління</t>
  </si>
  <si>
    <t>керівник</t>
  </si>
  <si>
    <t>адміністративно-управлінський персонал</t>
  </si>
  <si>
    <t>працівники</t>
  </si>
  <si>
    <t>Витрати на оплату праці</t>
  </si>
  <si>
    <t>Середньомісячні витрати на оплату праці одного працівника (грн), усього, у тому числі:</t>
  </si>
  <si>
    <t>член наглядової ради</t>
  </si>
  <si>
    <t>член правління</t>
  </si>
  <si>
    <t>адміністративно-управлінський працівник</t>
  </si>
  <si>
    <t>працівник</t>
  </si>
  <si>
    <t>ІСЦ</t>
  </si>
  <si>
    <t>ІЦВ</t>
  </si>
  <si>
    <t>Плановий рік (усього)</t>
  </si>
  <si>
    <t>У тому числі за кварталами</t>
  </si>
  <si>
    <t>Пояснення та обґрунтування до запланованого рівня доходів/витрат</t>
  </si>
  <si>
    <t>I</t>
  </si>
  <si>
    <t>II</t>
  </si>
  <si>
    <t>III</t>
  </si>
  <si>
    <t>IV</t>
  </si>
  <si>
    <t>дні</t>
  </si>
  <si>
    <t>Доходи і витрати (деталізація)</t>
  </si>
  <si>
    <t>коефіцієнт</t>
  </si>
  <si>
    <t>Гкал</t>
  </si>
  <si>
    <t>Гкал газ</t>
  </si>
  <si>
    <t>Витрати на сировину та основні матеріали</t>
  </si>
  <si>
    <t>Гкал дрова</t>
  </si>
  <si>
    <t xml:space="preserve">Витрати на паливо </t>
  </si>
  <si>
    <t>тариф газ</t>
  </si>
  <si>
    <t>Витрати на електроенергію</t>
  </si>
  <si>
    <t>тариф дрова</t>
  </si>
  <si>
    <t>дрова на 1 Гкал</t>
  </si>
  <si>
    <t>Відрахування на соціальні заходи</t>
  </si>
  <si>
    <t>Брикети на 1 Гкал</t>
  </si>
  <si>
    <t>Витрати, що здійснюються для підтримання об'єкта в робочому стані (проведення ремонту, технічного огляду, нагляду, обслуговування тощо)</t>
  </si>
  <si>
    <t>дрова м3</t>
  </si>
  <si>
    <t>Амортизація основних засобів і нематеріальних активів</t>
  </si>
  <si>
    <t>Брикети  т.</t>
  </si>
  <si>
    <t>Інші витрати (розшифрувати)</t>
  </si>
  <si>
    <t xml:space="preserve">всьго </t>
  </si>
  <si>
    <t>Валовий прибуток (збиток)</t>
  </si>
  <si>
    <t>газ на 1гкал</t>
  </si>
  <si>
    <t>ціна</t>
  </si>
  <si>
    <t>Адміністративні витрати, у тому числі:</t>
  </si>
  <si>
    <t>газ тис. м3</t>
  </si>
  <si>
    <t>газ</t>
  </si>
  <si>
    <t>дрова</t>
  </si>
  <si>
    <t>брикети</t>
  </si>
  <si>
    <t>е/е</t>
  </si>
  <si>
    <t>вода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</si>
  <si>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</si>
  <si>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</si>
  <si>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</si>
  <si>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</si>
  <si>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</si>
  <si>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</si>
  <si>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</si>
  <si>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</si>
  <si>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</si>
  <si>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</si>
  <si>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</si>
  <si>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</si>
  <si>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</si>
  <si>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</si>
  <si>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</si>
  <si>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</si>
  <si>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</si>
  <si>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</si>
  <si>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</si>
  <si>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</si>
  <si>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</si>
  <si>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</si>
  <si>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</si>
  <si>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</si>
  <si>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</si>
  <si>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</si>
  <si>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</si>
  <si>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</si>
  <si>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</si>
  <si>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</si>
  <si>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</si>
  <si>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нетипові операційні доходи (розшифрувати)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</si>
  <si>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</si>
  <si>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</si>
  <si>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</si>
  <si>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</si>
  <si>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</si>
  <si>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</si>
  <si>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</si>
  <si>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</si>
  <si>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</si>
  <si>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</si>
  <si>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</si>
  <si>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</si>
  <si>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</si>
  <si>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</si>
  <si>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</si>
  <si>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</si>
  <si>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</si>
  <si>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</si>
  <si>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</si>
  <si>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</si>
  <si>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</si>
  <si>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t>Розрахунок показника EBITDA</t>
  </si>
  <si>
    <t>Фінансовий результат від операційної діяльності, рядок 1100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</si>
  <si>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</si>
  <si>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</si>
  <si>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</si>
  <si>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</si>
  <si>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</si>
  <si>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</si>
  <si>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</si>
  <si>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</si>
  <si>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</si>
  <si>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</si>
  <si>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Усього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</si>
  <si>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</si>
  <si>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</si>
  <si>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Нараховані до сплати відрахування частини чистого прибутку, усього, у тому числі:</t>
  </si>
  <si>
    <t>державними унітарними підприємствами та їх об'єднаннями до державного бюджету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</si>
  <si>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</si>
  <si>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</si>
  <si>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</si>
  <si>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</si>
  <si>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</si>
  <si>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</si>
  <si>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</si>
  <si>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</si>
  <si>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</si>
  <si>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</si>
  <si>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>Сплата податків, зборів та інших обов'язкових платежів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</si>
  <si>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</si>
  <si>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</si>
  <si>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</si>
  <si>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</si>
  <si>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</si>
  <si>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</si>
  <si>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</si>
  <si>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</si>
  <si>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</si>
  <si>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</si>
  <si>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</si>
  <si>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 (за прямим методом)</t>
  </si>
  <si>
    <t>План поточного року</t>
  </si>
  <si>
    <t>I.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</si>
  <si>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</si>
  <si>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</si>
  <si>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</si>
  <si>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</si>
  <si>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</si>
  <si>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</si>
  <si>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</si>
  <si>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</si>
  <si>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</si>
  <si>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</si>
  <si>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</si>
  <si>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</si>
  <si>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</si>
  <si>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</si>
  <si>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</si>
  <si>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Зобов'язання з податків, зборів та інших обов'язкових платежів, у тому числі:</t>
  </si>
  <si>
    <t>податок на додану вартість</t>
  </si>
  <si>
    <t>рентна плата</t>
  </si>
  <si>
    <t>інші зобов'язання з податків і зборів (розшифрувати)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</si>
  <si>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</si>
  <si>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</si>
  <si>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</si>
  <si>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</si>
  <si>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</si>
  <si>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</si>
  <si>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</si>
  <si>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</si>
  <si>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</si>
  <si>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</si>
  <si>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</si>
  <si>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</si>
  <si>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</si>
  <si>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</si>
  <si>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</si>
  <si>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</si>
  <si>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</si>
  <si>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</si>
  <si>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</si>
  <si>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</si>
  <si>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</si>
  <si>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</si>
  <si>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</si>
  <si>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Виплати за деривативами</t>
  </si>
  <si>
    <t>III. Рух коштів у результаті фінансової діяльності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</si>
  <si>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</si>
  <si>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</si>
  <si>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</si>
  <si>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</si>
  <si>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</si>
  <si>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</si>
  <si>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</si>
  <si>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</si>
  <si>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</si>
  <si>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 xml:space="preserve">Чистий рух коштів від фінансової діяльності </t>
  </si>
  <si>
    <t>Чистий рух грошових коштів за звітний період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</si>
  <si>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</si>
  <si>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</si>
  <si>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</si>
  <si>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</si>
  <si>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</si>
  <si>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</si>
  <si>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Оптимальне значення</t>
  </si>
  <si>
    <t>Примітки</t>
  </si>
  <si>
    <t>Коефіцієнти рентабельності та прибутковості</t>
  </si>
  <si>
    <t>Валова рентабельність(валовий прибуток, рядок 1020 / чистий дохід від реалізації продукції (товарів, робіт, послуг), рядок 1000) х 100, %</t>
  </si>
  <si>
    <t>Збільшення</t>
  </si>
  <si>
    <t>Рентабельність EBITDA (EBITDA, рядок 1310 / чистий дохід від реалізації продукції (товарів, робіт, послуг), рядок 1000) х 100, %</t>
  </si>
  <si>
    <t>Рентабельність активів (чистий фінансовий результат, рядок 1200 / вартість активів, рядок 6020) х 100, %</t>
  </si>
  <si>
    <t>Характеризує ефективність використання активів підприємства</t>
  </si>
  <si>
    <t>Рентабельність власного капіталу (чистий фінансовий результат, рядок 1200 / власний капітал, рядок 6080) х 100, %</t>
  </si>
  <si>
    <t>Рентабельність діяльності (чистий фінансовий результат, рядок 1200 / чистий дохід від реалізації продукції (товарів, робіт, послуг), рядок 1000) х 100, %</t>
  </si>
  <si>
    <t>Характеризує ефективність господарської діяльності підприємства</t>
  </si>
  <si>
    <t>Коефіцієнти фінансової стійкості та ліквідності</t>
  </si>
  <si>
    <t xml:space="preserve">Коефіцієнт відношення боргу до EBITDA (довгострокові зобов'язання, рядок 6030 + поточні зобов'язання, рядок 6040) / EBITDA, рядок 1310 </t>
  </si>
  <si>
    <t>Коефіцієнт фінансової стійкості  (власний капітал, рядок 6080 / (довгострокові зобов'язання, рядок 6030 + поточні зобов'язання, рядок 6040))</t>
  </si>
  <si>
    <t>&gt; 1</t>
  </si>
  <si>
    <t>Характеризує співвідношення власних та позикових коштів і залежність підприємства від зовнішніх фінансових джерел</t>
  </si>
  <si>
    <t>Коефіцієнт поточної ліквідності (покриття) (оборотні активи, рядок 6010 / поточні зобов'язання, рядок 6040)</t>
  </si>
  <si>
    <t>Показує достатність ресурсів підприємства, які може бути використано для погашення його поточних зобов'язань. Нормативним значенням для цього показника є &gt; 1 - 1,5</t>
  </si>
  <si>
    <t>Аналіз капітальних інвестицій</t>
  </si>
  <si>
    <t>Коефіцієнт відношення капітальних інвестицій до амортизації 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</si>
  <si>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 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</si>
  <si>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(сума зносу, рядок 6003 / первісна вартість основних засобів, рядок 6002)</t>
  </si>
  <si>
    <t>Зменшення</t>
  </si>
  <si>
    <t>Характеризує інвестиційну політику підприємства</t>
  </si>
  <si>
    <t>Ковенанти/обмежувальні коефіцієнти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</si>
  <si>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</si>
  <si>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1. Дані про підприємство, персонал та витрати на оплату праці*</t>
  </si>
  <si>
    <t>Загальна інформація про підприємство (резюме)</t>
  </si>
  <si>
    <t>Плановий рік до прогнозу на поточний рік, %</t>
  </si>
  <si>
    <t>Плановий рік до факту минулого року, %</t>
  </si>
  <si>
    <t>Загальна кількість працівників (штатних працівників, зовнішніх сумісників та працівників, які працюють за цивільно-правовими договорами), у тому числі:</t>
  </si>
  <si>
    <t>Фонд оплати праці, тис. грн, у тому числі:</t>
  </si>
  <si>
    <t>Витрати на оплату праці, тис. грн, у тому числі:</t>
  </si>
  <si>
    <t>Середньомісячні витрати на оплату праці одного працівника, грн, усього, у тому числі:</t>
  </si>
  <si>
    <t xml:space="preserve">керівник, усього, у тому числі: </t>
  </si>
  <si>
    <t>посадовий оклад</t>
  </si>
  <si>
    <t>преміювання</t>
  </si>
  <si>
    <t xml:space="preserve">інші виплати, передбачені законодавством </t>
  </si>
  <si>
    <t>3. Інформація про бізнес підприємства (код рядка 1000 фінансового плану)</t>
  </si>
  <si>
    <t>Найменування видів діяльності за КВЕД</t>
  </si>
  <si>
    <t>Питома вага в загальному обсязі реалізації, %</t>
  </si>
  <si>
    <t>Плановий 2022 рік</t>
  </si>
  <si>
    <t>за минулий рік</t>
  </si>
  <si>
    <t>за плановий рік</t>
  </si>
  <si>
    <t>чистий дохід від реалізації продукції (товарів, робіт, послуг), тис. грн</t>
  </si>
  <si>
    <t>кількість продукції / наданих послуг, одиниця виміру</t>
  </si>
  <si>
    <t>ціна одиниці (вартість продукції / наданих послуг), грн</t>
  </si>
  <si>
    <t xml:space="preserve"> Постачання пари, гарячої води та кондиційованого повітря</t>
  </si>
  <si>
    <t>____________</t>
  </si>
  <si>
    <t>*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</t>
  </si>
  <si>
    <t>2. Перелік підприємств, які включені до консолідованого (зведеного) фінансового плану</t>
  </si>
  <si>
    <t>Код за ЄДРПОУ</t>
  </si>
  <si>
    <t>Найменування підприємства</t>
  </si>
  <si>
    <t>Вид діяльності</t>
  </si>
  <si>
    <r>
      <rPr>
        <b/>
        <u/>
        <sz val="10"/>
        <color theme="1"/>
        <rFont val="Times New Roman"/>
        <family val="2"/>
        <charset val="204"/>
      </rPr>
      <t>Комунальне підприємство "Коломиятеплосервіс"</t>
    </r>
    <r>
      <rPr>
        <b/>
        <sz val="10"/>
        <color theme="1"/>
        <rFont val="Times New Roman"/>
        <family val="2"/>
        <charset val="204"/>
      </rPr>
      <t xml:space="preserve">
(найменування підприємства)
</t>
    </r>
  </si>
  <si>
    <t>квартал</t>
  </si>
  <si>
    <t>генератори</t>
  </si>
  <si>
    <t>ДП</t>
  </si>
  <si>
    <t>масло</t>
  </si>
  <si>
    <t>бензин, л</t>
  </si>
  <si>
    <t>ДП, л</t>
  </si>
  <si>
    <t>інша техніка</t>
  </si>
  <si>
    <t xml:space="preserve">бензин, </t>
  </si>
  <si>
    <t xml:space="preserve"> Надання в оренду основних засобів</t>
  </si>
  <si>
    <t>Капітальні інвестиції, усього, у тому числі:</t>
  </si>
  <si>
    <t xml:space="preserve">     ШТАТНИЙ  РОЗКЛАД</t>
  </si>
  <si>
    <t xml:space="preserve">  комунального підприємства "Коломиятеплосервіс",</t>
  </si>
  <si>
    <t>№ з/п</t>
  </si>
  <si>
    <t>Посада</t>
  </si>
  <si>
    <t>Кількість штатних одиниць,    чол.</t>
  </si>
  <si>
    <t>Розряд   або група оплати праці</t>
  </si>
  <si>
    <t>Погодинна тарифна ставка,        грн</t>
  </si>
  <si>
    <t>Посадовий оклад  /місячна тар. ставка/,     грн</t>
  </si>
  <si>
    <t>доплати</t>
  </si>
  <si>
    <t xml:space="preserve">  місячний фонд ОП </t>
  </si>
  <si>
    <t xml:space="preserve"> Апарат управління</t>
  </si>
  <si>
    <t xml:space="preserve">Директор        </t>
  </si>
  <si>
    <t xml:space="preserve">заступник Директор        </t>
  </si>
  <si>
    <t>Головний інженер</t>
  </si>
  <si>
    <t>Головний бухгалтер</t>
  </si>
  <si>
    <t>Економіст</t>
  </si>
  <si>
    <t>Всього:</t>
  </si>
  <si>
    <t xml:space="preserve">Управління виробництвом </t>
  </si>
  <si>
    <t>Начальник дільниці</t>
  </si>
  <si>
    <t>Майстер</t>
  </si>
  <si>
    <t>Інженер</t>
  </si>
  <si>
    <t>Енергетик</t>
  </si>
  <si>
    <t>Бухгалтер</t>
  </si>
  <si>
    <t>Виробничий персонал</t>
  </si>
  <si>
    <t>Машиніст котлів</t>
  </si>
  <si>
    <t>Слюсар  з КВП та А</t>
  </si>
  <si>
    <t xml:space="preserve">Слюсар з обслуговування теплових мереж </t>
  </si>
  <si>
    <t>Слюсар з ремонту устаткування котелень та пилопідготовчих цехів </t>
  </si>
  <si>
    <t>Електрогазозварник</t>
  </si>
  <si>
    <t>Різальник на пилах, ножівках та верстатах</t>
  </si>
  <si>
    <t xml:space="preserve">Водій автотранспортних засобів </t>
  </si>
  <si>
    <t>Прибиральник службових приміщень </t>
  </si>
  <si>
    <t>Разом по підприємству:</t>
  </si>
  <si>
    <t>23+91</t>
  </si>
  <si>
    <t>КВАРТАЛИ</t>
  </si>
  <si>
    <t>всього</t>
  </si>
  <si>
    <t>4. Діючі фінансові зобов'язання підприємства</t>
  </si>
  <si>
    <t>Найменування банку</t>
  </si>
  <si>
    <t xml:space="preserve">Вид кредитного продукту та цільове призначення </t>
  </si>
  <si>
    <t xml:space="preserve">Сума, валюта за договорами </t>
  </si>
  <si>
    <t>Процентна ставка</t>
  </si>
  <si>
    <t>Дата видачі/погашення (графік)</t>
  </si>
  <si>
    <t>Заборгованість на останню дату</t>
  </si>
  <si>
    <t>Забезпечення</t>
  </si>
  <si>
    <r>
      <t>x</t>
    </r>
    <r>
      <rPr>
        <sz val="10"/>
        <color theme="1"/>
        <rFont val="Times New Roman"/>
        <family val="1"/>
        <charset val="204"/>
      </rPr>
      <t xml:space="preserve"> </t>
    </r>
  </si>
  <si>
    <r>
      <t xml:space="preserve"> </t>
    </r>
    <r>
      <rPr>
        <b/>
        <sz val="10"/>
        <color theme="1"/>
        <rFont val="Times New Roman"/>
        <family val="1"/>
        <charset val="204"/>
      </rPr>
      <t>x</t>
    </r>
  </si>
  <si>
    <t xml:space="preserve">- </t>
  </si>
  <si>
    <t>5.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</si>
  <si>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</si>
  <si>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</si>
  <si>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План із залучення коштів</t>
  </si>
  <si>
    <t>План з повернення коштів</t>
  </si>
  <si>
    <t>Заборгованість за кредитами на кінець ______ року</t>
  </si>
  <si>
    <t xml:space="preserve">Довгострокові зобов'язання, усього </t>
  </si>
  <si>
    <t>у тому числі:</t>
  </si>
  <si>
    <t>Короткострокові зобов'язання, усього</t>
  </si>
  <si>
    <r>
      <t>у тому числі:</t>
    </r>
    <r>
      <rPr>
        <i/>
        <sz val="10"/>
        <color theme="1"/>
        <rFont val="Times New Roman"/>
        <family val="1"/>
        <charset val="204"/>
      </rPr>
      <t xml:space="preserve"> </t>
    </r>
  </si>
  <si>
    <t>Інші фінансові зобов'язання, усього</t>
  </si>
  <si>
    <t>6. Витрати, пов'язані з використанням власних службових автомобілів (у складі адміністративних витрат, рядок 1031)</t>
  </si>
  <si>
    <t>Марка</t>
  </si>
  <si>
    <t>Рік придбання</t>
  </si>
  <si>
    <t>Мета використання</t>
  </si>
  <si>
    <t>Витрати, усього</t>
  </si>
  <si>
    <t>Плановий рік до плану поточного року, %</t>
  </si>
  <si>
    <t>факт минулого року</t>
  </si>
  <si>
    <t>фінансовий план поточного року</t>
  </si>
  <si>
    <t>плановий рік</t>
  </si>
  <si>
    <t>7. Витрати на оренду службових автомобілів (у складі адміністративних витрат, рядок 1032)</t>
  </si>
  <si>
    <t>Договір</t>
  </si>
  <si>
    <t>Дата початку оренди</t>
  </si>
  <si>
    <t>8. Джерела капітальних інвестицій</t>
  </si>
  <si>
    <t>тис. грн (без ПДВ)</t>
  </si>
  <si>
    <t>Найменування об'єкта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</si>
  <si>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</si>
  <si>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</si>
  <si>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</si>
  <si>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</si>
  <si>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рік</t>
  </si>
  <si>
    <t>у тому числі за кварталами</t>
  </si>
  <si>
    <t xml:space="preserve">I </t>
  </si>
  <si>
    <t xml:space="preserve">II </t>
  </si>
  <si>
    <t xml:space="preserve">III </t>
  </si>
  <si>
    <t xml:space="preserve">IV </t>
  </si>
  <si>
    <t>Відсоток</t>
  </si>
  <si>
    <t>9. Капітальне будівництво (рядок 4010 таблиці 4)</t>
  </si>
  <si>
    <t xml:space="preserve">Найменування об'єкта </t>
  </si>
  <si>
    <t>Рік початку і закінчення будівництва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</si>
  <si>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</si>
  <si>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</si>
  <si>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Незавершене будівництво на початок планового року</t>
  </si>
  <si>
    <t>Інформація щодо проектно-кошторисної документації (стан розроблення, затвердження, у разі затвердження зазначити суб'єкт управління, яким затверджено, та відповідний документ)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</si>
  <si>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</si>
  <si>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</si>
  <si>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</si>
  <si>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</si>
  <si>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</si>
  <si>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</si>
  <si>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Документ, яким затверджений титул будови,  із зазначенням суб'єкта управління, який його погодив</t>
  </si>
  <si>
    <t>е/е кВТ</t>
  </si>
  <si>
    <t>В.о. директора</t>
  </si>
  <si>
    <t xml:space="preserve">          (посада)</t>
  </si>
  <si>
    <t>(підпис)</t>
  </si>
  <si>
    <t>(ініціали, прізвище)</t>
  </si>
  <si>
    <t xml:space="preserve">Факт минулого року </t>
  </si>
  <si>
    <t xml:space="preserve">Фінансовий план поточного року </t>
  </si>
  <si>
    <t xml:space="preserve">Прогноз на поточний рік </t>
  </si>
  <si>
    <t>Обслуговування паливної</t>
  </si>
  <si>
    <t xml:space="preserve">2024р. </t>
  </si>
  <si>
    <t>коефіціент</t>
  </si>
  <si>
    <t>кількість наданих послуг, тис. Гкал.</t>
  </si>
  <si>
    <t>Усього доходів, з них:</t>
  </si>
  <si>
    <t>чистий дохід від реалізації продукції (теплоенергія)</t>
  </si>
  <si>
    <t>Відрахування на соціальні заходи (ЕСВ)</t>
  </si>
  <si>
    <t>Дані про персонал та витрати на оплату праці</t>
  </si>
  <si>
    <t>Загальна кількість працівників  у тому числі:</t>
  </si>
  <si>
    <t>Розрахунки з бюджетом</t>
  </si>
  <si>
    <t xml:space="preserve">Плановий рік </t>
  </si>
  <si>
    <t>Рік</t>
  </si>
  <si>
    <t>2024/2022</t>
  </si>
  <si>
    <t>інші доходи (оренда, % від депозиту )</t>
  </si>
  <si>
    <t xml:space="preserve">витрати на паливо </t>
  </si>
  <si>
    <t>витрати на електроенергію</t>
  </si>
  <si>
    <t>Порівняльна таблиця</t>
  </si>
  <si>
    <t>Факт поточного року</t>
  </si>
  <si>
    <t>1 півріччя 2023</t>
  </si>
  <si>
    <t>Рік 2025</t>
  </si>
  <si>
    <t>Прізвище та ініціали керівника Місюра Микола Степанович</t>
  </si>
  <si>
    <t>Диспетчер</t>
  </si>
  <si>
    <t>Електромонтер з ремонту та обслуговування електроустаткування</t>
  </si>
  <si>
    <t>Фактичний показник за 2023 минулий рік</t>
  </si>
  <si>
    <t>Плановий показник поточного 2024 року</t>
  </si>
  <si>
    <t>Фактичний показник поточного року за останній звітний період 1 півріччя 2024р.</t>
  </si>
  <si>
    <t>Плановий 2025 рік</t>
  </si>
  <si>
    <t>Микола Місюра</t>
  </si>
  <si>
    <t>на 2025 рік</t>
  </si>
  <si>
    <r>
      <t xml:space="preserve">ЗАТВЕРДЖЕНО
рішення міської ради 
від _________________2024р. № ___________
Міський голова
______________ </t>
    </r>
    <r>
      <rPr>
        <b/>
        <sz val="12"/>
        <color theme="1"/>
        <rFont val="Times New Roman"/>
        <family val="1"/>
        <charset val="204"/>
      </rPr>
      <t>Богдан СТАНІСЛАВСЬКИЙ</t>
    </r>
    <r>
      <rPr>
        <sz val="12"/>
        <color theme="1"/>
        <rFont val="Times New Roman"/>
        <family val="1"/>
        <charset val="204"/>
      </rPr>
      <t xml:space="preserve">
</t>
    </r>
  </si>
  <si>
    <t xml:space="preserve">Інформація
до фінансового плану на 2025 рік
</t>
  </si>
  <si>
    <r>
      <t xml:space="preserve">ПОГОДЖЕНО
</t>
    </r>
    <r>
      <rPr>
        <u/>
        <sz val="11"/>
        <color theme="1"/>
        <rFont val="Times New Roman"/>
        <family val="1"/>
        <charset val="204"/>
      </rPr>
      <t>Управління комунального господарства Коломийської міської ради</t>
    </r>
    <r>
      <rPr>
        <sz val="11"/>
        <color theme="1"/>
        <rFont val="Times New Roman"/>
        <family val="2"/>
        <charset val="204"/>
      </rPr>
      <t xml:space="preserve">
          (найменування органу, який розглянув фінансовий план)
Заступник начальника
________________</t>
    </r>
    <r>
      <rPr>
        <b/>
        <sz val="12"/>
        <color theme="1"/>
        <rFont val="Times New Roman"/>
        <family val="1"/>
        <charset val="204"/>
      </rPr>
      <t>Уляна ДОЛАВРУК</t>
    </r>
    <r>
      <rPr>
        <sz val="11"/>
        <color theme="1"/>
        <rFont val="Times New Roman"/>
        <family val="2"/>
        <charset val="204"/>
      </rPr>
      <t xml:space="preserve">
М.П.(посада П.І.Б., дата, підпис)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</si>
</sst>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6" x14ac:knownFonts="1">
    <font>
      <sz val="11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0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u/>
      <sz val="10"/>
      <color theme="1"/>
      <name val="Times New Roman"/>
      <family val="2"/>
      <charset val="204"/>
    </font>
    <font>
      <i/>
      <sz val="10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</font>
    <font>
      <sz val="11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0" fontId="24" fillId="0" borderId="0"/>
  </cellStyleXfs>
  <cellXfs count="360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wrapText="1"/>
    </xf>
    <xf numFmtId="1" fontId="6" fillId="2" borderId="1" xfId="0" applyNumberFormat="1" applyFont="1" applyFill="1" applyBorder="1" applyAlignment="1">
      <alignment wrapText="1"/>
    </xf>
    <xf numFmtId="164" fontId="6" fillId="2" borderId="0" xfId="0" applyNumberFormat="1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textRotation="90" wrapText="1"/>
    </xf>
    <xf numFmtId="164" fontId="5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 textRotation="90" wrapText="1"/>
    </xf>
    <xf numFmtId="164" fontId="6" fillId="2" borderId="1" xfId="0" applyNumberFormat="1" applyFont="1" applyFill="1" applyBorder="1" applyAlignment="1">
      <alignment vertical="top" textRotation="90" wrapText="1"/>
    </xf>
    <xf numFmtId="164" fontId="5" fillId="3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1" fontId="6" fillId="2" borderId="0" xfId="0" applyNumberFormat="1" applyFont="1" applyFill="1" applyBorder="1" applyAlignment="1">
      <alignment wrapText="1"/>
    </xf>
    <xf numFmtId="0" fontId="8" fillId="0" borderId="0" xfId="0" applyFont="1"/>
    <xf numFmtId="164" fontId="8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8" fillId="0" borderId="0" xfId="0" applyNumberFormat="1" applyFont="1"/>
    <xf numFmtId="164" fontId="7" fillId="2" borderId="1" xfId="0" applyNumberFormat="1" applyFont="1" applyFill="1" applyBorder="1" applyAlignment="1">
      <alignment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/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wrapText="1"/>
    </xf>
    <xf numFmtId="164" fontId="10" fillId="2" borderId="1" xfId="0" applyNumberFormat="1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164" fontId="8" fillId="2" borderId="1" xfId="0" applyNumberFormat="1" applyFont="1" applyFill="1" applyBorder="1" applyAlignment="1">
      <alignment vertical="center" textRotation="90" wrapText="1"/>
    </xf>
    <xf numFmtId="164" fontId="8" fillId="2" borderId="2" xfId="0" applyNumberFormat="1" applyFont="1" applyFill="1" applyBorder="1" applyAlignment="1">
      <alignment vertical="center" textRotation="90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164" fontId="8" fillId="2" borderId="7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" fontId="8" fillId="2" borderId="7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1" fillId="0" borderId="0" xfId="0" applyFont="1"/>
    <xf numFmtId="0" fontId="12" fillId="0" borderId="0" xfId="0" applyFont="1"/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2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0" fillId="2" borderId="1" xfId="0" applyFill="1" applyBorder="1"/>
    <xf numFmtId="0" fontId="16" fillId="2" borderId="1" xfId="0" applyFont="1" applyFill="1" applyBorder="1"/>
    <xf numFmtId="0" fontId="15" fillId="0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/>
    <xf numFmtId="0" fontId="18" fillId="2" borderId="1" xfId="0" applyFont="1" applyFill="1" applyBorder="1" applyAlignment="1">
      <alignment horizontal="left" vertical="center"/>
    </xf>
    <xf numFmtId="3" fontId="19" fillId="0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165" fontId="15" fillId="2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" fontId="15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/>
    <xf numFmtId="0" fontId="20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/>
    </xf>
    <xf numFmtId="165" fontId="18" fillId="0" borderId="1" xfId="0" applyNumberFormat="1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/>
    </xf>
    <xf numFmtId="1" fontId="0" fillId="2" borderId="1" xfId="0" applyNumberFormat="1" applyFill="1" applyBorder="1"/>
    <xf numFmtId="0" fontId="21" fillId="2" borderId="1" xfId="0" applyFont="1" applyFill="1" applyBorder="1" applyAlignment="1">
      <alignment horizontal="left"/>
    </xf>
    <xf numFmtId="0" fontId="18" fillId="0" borderId="1" xfId="0" applyFont="1" applyBorder="1" applyAlignment="1">
      <alignment horizontal="center"/>
    </xf>
    <xf numFmtId="2" fontId="18" fillId="0" borderId="1" xfId="0" applyNumberFormat="1" applyFont="1" applyBorder="1" applyAlignment="1">
      <alignment horizontal="center"/>
    </xf>
    <xf numFmtId="1" fontId="18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3" fontId="18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/>
    </xf>
    <xf numFmtId="1" fontId="18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4" fillId="0" borderId="1" xfId="1" applyFont="1" applyBorder="1" applyAlignment="1">
      <alignment vertical="center" wrapText="1"/>
    </xf>
    <xf numFmtId="0" fontId="14" fillId="0" borderId="1" xfId="1" applyFont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vertical="center" wrapText="1"/>
    </xf>
    <xf numFmtId="164" fontId="6" fillId="2" borderId="5" xfId="0" applyNumberFormat="1" applyFont="1" applyFill="1" applyBorder="1" applyAlignment="1">
      <alignment wrapText="1"/>
    </xf>
    <xf numFmtId="4" fontId="25" fillId="2" borderId="1" xfId="0" applyNumberFormat="1" applyFont="1" applyFill="1" applyBorder="1" applyAlignment="1">
      <alignment wrapText="1"/>
    </xf>
    <xf numFmtId="0" fontId="0" fillId="0" borderId="0" xfId="0" applyAlignment="1"/>
    <xf numFmtId="0" fontId="26" fillId="0" borderId="6" xfId="0" applyFont="1" applyBorder="1"/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vertical="center" textRotation="90" wrapText="1"/>
    </xf>
    <xf numFmtId="164" fontId="8" fillId="2" borderId="17" xfId="0" applyNumberFormat="1" applyFont="1" applyFill="1" applyBorder="1" applyAlignment="1">
      <alignment vertical="center" textRotation="90" wrapText="1"/>
    </xf>
    <xf numFmtId="0" fontId="8" fillId="2" borderId="16" xfId="0" applyNumberFormat="1" applyFont="1" applyFill="1" applyBorder="1" applyAlignment="1">
      <alignment horizontal="center" vertical="center" wrapText="1"/>
    </xf>
    <xf numFmtId="0" fontId="8" fillId="2" borderId="17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Fill="1" applyBorder="1" applyAlignment="1">
      <alignment vertical="center" wrapText="1"/>
    </xf>
    <xf numFmtId="164" fontId="8" fillId="0" borderId="17" xfId="0" applyNumberFormat="1" applyFont="1" applyFill="1" applyBorder="1" applyAlignment="1">
      <alignment vertical="center" wrapText="1"/>
    </xf>
    <xf numFmtId="164" fontId="12" fillId="2" borderId="18" xfId="0" applyNumberFormat="1" applyFont="1" applyFill="1" applyBorder="1" applyAlignment="1">
      <alignment vertical="center" wrapText="1"/>
    </xf>
    <xf numFmtId="164" fontId="12" fillId="2" borderId="19" xfId="0" applyNumberFormat="1" applyFont="1" applyFill="1" applyBorder="1" applyAlignment="1">
      <alignment vertical="center" wrapText="1"/>
    </xf>
    <xf numFmtId="164" fontId="12" fillId="2" borderId="20" xfId="0" applyNumberFormat="1" applyFont="1" applyFill="1" applyBorder="1" applyAlignment="1">
      <alignment vertical="center" wrapText="1"/>
    </xf>
    <xf numFmtId="164" fontId="8" fillId="2" borderId="17" xfId="0" applyNumberFormat="1" applyFont="1" applyFill="1" applyBorder="1" applyAlignment="1">
      <alignment vertical="center" wrapText="1"/>
    </xf>
    <xf numFmtId="164" fontId="8" fillId="2" borderId="4" xfId="0" applyNumberFormat="1" applyFont="1" applyFill="1" applyBorder="1" applyAlignment="1">
      <alignment vertical="center" wrapText="1"/>
    </xf>
    <xf numFmtId="164" fontId="12" fillId="2" borderId="21" xfId="0" applyNumberFormat="1" applyFont="1" applyFill="1" applyBorder="1" applyAlignment="1">
      <alignment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wrapText="1"/>
    </xf>
    <xf numFmtId="164" fontId="27" fillId="2" borderId="1" xfId="0" applyNumberFormat="1" applyFont="1" applyFill="1" applyBorder="1" applyAlignment="1">
      <alignment wrapText="1"/>
    </xf>
    <xf numFmtId="0" fontId="28" fillId="0" borderId="0" xfId="0" applyFont="1"/>
    <xf numFmtId="4" fontId="29" fillId="2" borderId="1" xfId="0" applyNumberFormat="1" applyFont="1" applyFill="1" applyBorder="1" applyAlignment="1">
      <alignment wrapText="1"/>
    </xf>
    <xf numFmtId="164" fontId="27" fillId="2" borderId="9" xfId="0" applyNumberFormat="1" applyFont="1" applyFill="1" applyBorder="1" applyAlignment="1">
      <alignment wrapText="1"/>
    </xf>
    <xf numFmtId="164" fontId="11" fillId="2" borderId="9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0" fontId="26" fillId="0" borderId="0" xfId="0" applyFont="1"/>
    <xf numFmtId="164" fontId="2" fillId="2" borderId="9" xfId="0" applyNumberFormat="1" applyFont="1" applyFill="1" applyBorder="1" applyAlignment="1">
      <alignment wrapText="1"/>
    </xf>
    <xf numFmtId="164" fontId="30" fillId="2" borderId="1" xfId="0" applyNumberFormat="1" applyFont="1" applyFill="1" applyBorder="1" applyAlignment="1">
      <alignment wrapText="1"/>
    </xf>
    <xf numFmtId="164" fontId="31" fillId="2" borderId="1" xfId="0" applyNumberFormat="1" applyFont="1" applyFill="1" applyBorder="1" applyAlignment="1">
      <alignment horizontal="center" vertical="center" wrapText="1"/>
    </xf>
    <xf numFmtId="0" fontId="31" fillId="2" borderId="1" xfId="0" applyNumberFormat="1" applyFont="1" applyFill="1" applyBorder="1" applyAlignment="1">
      <alignment horizontal="center" vertical="center" wrapText="1"/>
    </xf>
    <xf numFmtId="164" fontId="32" fillId="2" borderId="1" xfId="0" applyNumberFormat="1" applyFont="1" applyFill="1" applyBorder="1" applyAlignment="1">
      <alignment horizontal="center" vertical="center" wrapText="1"/>
    </xf>
    <xf numFmtId="164" fontId="31" fillId="0" borderId="1" xfId="0" applyNumberFormat="1" applyFont="1" applyFill="1" applyBorder="1" applyAlignment="1">
      <alignment horizontal="center" vertical="center" wrapText="1"/>
    </xf>
    <xf numFmtId="164" fontId="32" fillId="0" borderId="1" xfId="0" applyNumberFormat="1" applyFont="1" applyFill="1" applyBorder="1" applyAlignment="1">
      <alignment horizontal="center" vertical="center" wrapText="1"/>
    </xf>
    <xf numFmtId="164" fontId="31" fillId="2" borderId="0" xfId="0" applyNumberFormat="1" applyFont="1" applyFill="1" applyBorder="1" applyAlignment="1">
      <alignment wrapText="1"/>
    </xf>
    <xf numFmtId="164" fontId="31" fillId="2" borderId="1" xfId="0" applyNumberFormat="1" applyFont="1" applyFill="1" applyBorder="1" applyAlignment="1">
      <alignment wrapText="1"/>
    </xf>
    <xf numFmtId="1" fontId="14" fillId="0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Border="1"/>
    <xf numFmtId="0" fontId="33" fillId="0" borderId="1" xfId="0" applyFont="1" applyBorder="1"/>
    <xf numFmtId="164" fontId="33" fillId="2" borderId="1" xfId="0" applyNumberFormat="1" applyFont="1" applyFill="1" applyBorder="1" applyAlignment="1">
      <alignment vertical="center" wrapText="1"/>
    </xf>
    <xf numFmtId="0" fontId="14" fillId="0" borderId="0" xfId="0" applyFont="1" applyFill="1"/>
    <xf numFmtId="0" fontId="14" fillId="0" borderId="0" xfId="0" applyFont="1"/>
    <xf numFmtId="0" fontId="14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164" fontId="14" fillId="0" borderId="16" xfId="0" applyNumberFormat="1" applyFont="1" applyFill="1" applyBorder="1" applyAlignment="1">
      <alignment vertical="center" textRotation="90" wrapText="1"/>
    </xf>
    <xf numFmtId="164" fontId="14" fillId="0" borderId="1" xfId="0" applyNumberFormat="1" applyFont="1" applyFill="1" applyBorder="1" applyAlignment="1">
      <alignment vertical="center" textRotation="90" wrapText="1"/>
    </xf>
    <xf numFmtId="164" fontId="14" fillId="0" borderId="17" xfId="0" applyNumberFormat="1" applyFont="1" applyFill="1" applyBorder="1" applyAlignment="1">
      <alignment vertical="center" textRotation="90" wrapText="1"/>
    </xf>
    <xf numFmtId="0" fontId="14" fillId="0" borderId="16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7" xfId="0" applyNumberFormat="1" applyFont="1" applyFill="1" applyBorder="1" applyAlignment="1">
      <alignment horizontal="center" vertical="center" wrapText="1"/>
    </xf>
    <xf numFmtId="164" fontId="14" fillId="0" borderId="16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14" fillId="0" borderId="17" xfId="0" applyNumberFormat="1" applyFont="1" applyFill="1" applyBorder="1" applyAlignment="1">
      <alignment vertical="center" wrapText="1"/>
    </xf>
    <xf numFmtId="164" fontId="33" fillId="0" borderId="18" xfId="0" applyNumberFormat="1" applyFont="1" applyFill="1" applyBorder="1" applyAlignment="1">
      <alignment vertical="center" wrapText="1"/>
    </xf>
    <xf numFmtId="164" fontId="33" fillId="0" borderId="19" xfId="0" applyNumberFormat="1" applyFont="1" applyFill="1" applyBorder="1" applyAlignment="1">
      <alignment vertical="center" wrapText="1"/>
    </xf>
    <xf numFmtId="164" fontId="33" fillId="0" borderId="20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6" fillId="0" borderId="0" xfId="0" applyNumberFormat="1" applyFont="1" applyAlignment="1">
      <alignment horizontal="center" vertical="center"/>
    </xf>
    <xf numFmtId="164" fontId="26" fillId="0" borderId="1" xfId="0" applyNumberFormat="1" applyFont="1" applyBorder="1" applyAlignment="1">
      <alignment horizontal="left" vertical="center" wrapText="1"/>
    </xf>
    <xf numFmtId="164" fontId="26" fillId="0" borderId="1" xfId="0" applyNumberFormat="1" applyFont="1" applyBorder="1" applyAlignment="1">
      <alignment horizontal="center" vertical="center"/>
    </xf>
    <xf numFmtId="165" fontId="26" fillId="0" borderId="1" xfId="0" applyNumberFormat="1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164" fontId="0" fillId="0" borderId="1" xfId="0" applyNumberForma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165" fontId="34" fillId="0" borderId="1" xfId="0" applyNumberFormat="1" applyFont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left" vertical="center" wrapText="1"/>
    </xf>
    <xf numFmtId="164" fontId="0" fillId="0" borderId="0" xfId="0" applyNumberFormat="1" applyAlignment="1">
      <alignment horizontal="center" vertical="center"/>
    </xf>
    <xf numFmtId="165" fontId="34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vertical="center"/>
    </xf>
    <xf numFmtId="164" fontId="35" fillId="0" borderId="1" xfId="0" applyNumberFormat="1" applyFont="1" applyBorder="1" applyAlignment="1">
      <alignment horizontal="left" vertical="center" wrapText="1"/>
    </xf>
    <xf numFmtId="164" fontId="3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 vertical="center" wrapText="1"/>
    </xf>
    <xf numFmtId="164" fontId="31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164" fontId="7" fillId="2" borderId="2" xfId="0" applyNumberFormat="1" applyFont="1" applyFill="1" applyBorder="1" applyAlignment="1">
      <alignment horizontal="left" vertical="center" wrapText="1"/>
    </xf>
    <xf numFmtId="164" fontId="7" fillId="2" borderId="3" xfId="0" applyNumberFormat="1" applyFont="1" applyFill="1" applyBorder="1" applyAlignment="1">
      <alignment horizontal="left" vertical="center" wrapText="1"/>
    </xf>
    <xf numFmtId="164" fontId="7" fillId="2" borderId="4" xfId="0" applyNumberFormat="1" applyFont="1" applyFill="1" applyBorder="1" applyAlignment="1">
      <alignment horizontal="left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14" fillId="2" borderId="7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" fontId="8" fillId="2" borderId="7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4" fillId="2" borderId="4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14" fillId="0" borderId="22" xfId="0" applyNumberFormat="1" applyFont="1" applyFill="1" applyBorder="1" applyAlignment="1">
      <alignment horizontal="center" vertical="center" wrapText="1"/>
    </xf>
    <xf numFmtId="164" fontId="14" fillId="0" borderId="23" xfId="0" applyNumberFormat="1" applyFont="1" applyFill="1" applyBorder="1" applyAlignment="1">
      <alignment horizontal="center" vertical="center" wrapText="1"/>
    </xf>
    <xf numFmtId="164" fontId="14" fillId="0" borderId="24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26" fillId="0" borderId="6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164" fontId="11" fillId="2" borderId="2" xfId="0" applyNumberFormat="1" applyFont="1" applyFill="1" applyBorder="1" applyAlignment="1">
      <alignment horizontal="center" wrapText="1"/>
    </xf>
    <xf numFmtId="164" fontId="11" fillId="2" borderId="3" xfId="0" applyNumberFormat="1" applyFont="1" applyFill="1" applyBorder="1" applyAlignment="1">
      <alignment horizontal="center" wrapText="1"/>
    </xf>
    <xf numFmtId="164" fontId="11" fillId="2" borderId="4" xfId="0" applyNumberFormat="1" applyFont="1" applyFill="1" applyBorder="1" applyAlignment="1">
      <alignment horizontal="center" wrapText="1"/>
    </xf>
    <xf numFmtId="164" fontId="27" fillId="2" borderId="10" xfId="0" applyNumberFormat="1" applyFont="1" applyFill="1" applyBorder="1" applyAlignment="1">
      <alignment horizontal="center" wrapText="1"/>
    </xf>
    <xf numFmtId="164" fontId="27" fillId="2" borderId="11" xfId="0" applyNumberFormat="1" applyFont="1" applyFill="1" applyBorder="1" applyAlignment="1">
      <alignment horizontal="center" wrapText="1"/>
    </xf>
    <xf numFmtId="164" fontId="27" fillId="2" borderId="12" xfId="0" applyNumberFormat="1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 wrapText="1"/>
    </xf>
    <xf numFmtId="164" fontId="6" fillId="2" borderId="3" xfId="0" applyNumberFormat="1" applyFont="1" applyFill="1" applyBorder="1" applyAlignment="1">
      <alignment horizontal="center" wrapText="1"/>
    </xf>
    <xf numFmtId="164" fontId="6" fillId="2" borderId="4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4" fontId="0" fillId="2" borderId="2" xfId="0" applyNumberFormat="1" applyFill="1" applyBorder="1" applyAlignment="1">
      <alignment horizontal="center"/>
    </xf>
    <xf numFmtId="4" fontId="0" fillId="2" borderId="3" xfId="0" applyNumberFormat="1" applyFill="1" applyBorder="1" applyAlignment="1">
      <alignment horizontal="center"/>
    </xf>
    <xf numFmtId="4" fontId="0" fillId="2" borderId="4" xfId="0" applyNumberForma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B1" sqref="B1:C1"/>
    </sheetView>
  </sheetViews>
  <sheetFormatPr defaultRowHeight="15" x14ac:dyDescent="0.25"/>
  <cols>
    <col min="1" max="1" width="86.42578125" customWidth="1"/>
    <col min="2" max="2" width="27.42578125" customWidth="1"/>
    <col min="3" max="3" width="20.140625" customWidth="1"/>
  </cols>
  <sheetData>
    <row r="1" spans="1:4" ht="137.25" customHeight="1" x14ac:dyDescent="0.25">
      <c r="A1" s="4" t="s">
        <v>520</v>
      </c>
      <c r="B1" s="269" t="s">
        <v>518</v>
      </c>
      <c r="C1" s="269"/>
    </row>
    <row r="2" spans="1:4" ht="83.25" customHeight="1" x14ac:dyDescent="0.25">
      <c r="A2" s="1"/>
      <c r="D2" s="1"/>
    </row>
    <row r="3" spans="1:4" x14ac:dyDescent="0.25">
      <c r="A3" s="2"/>
      <c r="B3" s="2"/>
      <c r="C3" s="2"/>
      <c r="D3" s="2"/>
    </row>
    <row r="5" spans="1:4" ht="15.75" x14ac:dyDescent="0.25">
      <c r="A5" s="3"/>
    </row>
    <row r="7" spans="1:4" ht="15.75" x14ac:dyDescent="0.25">
      <c r="A7" s="5" t="s">
        <v>0</v>
      </c>
      <c r="B7" s="5" t="s">
        <v>508</v>
      </c>
      <c r="C7" s="6" t="s">
        <v>1</v>
      </c>
    </row>
    <row r="8" spans="1:4" ht="15.75" x14ac:dyDescent="0.25">
      <c r="A8" s="5" t="s">
        <v>2</v>
      </c>
      <c r="B8" s="5" t="s">
        <v>3</v>
      </c>
      <c r="C8" s="7">
        <v>40333641</v>
      </c>
    </row>
    <row r="9" spans="1:4" ht="15.75" x14ac:dyDescent="0.25">
      <c r="A9" s="5" t="s">
        <v>4</v>
      </c>
      <c r="B9" s="5" t="s">
        <v>5</v>
      </c>
      <c r="C9" s="7">
        <v>150</v>
      </c>
    </row>
    <row r="10" spans="1:4" ht="15.75" x14ac:dyDescent="0.25">
      <c r="A10" s="5" t="s">
        <v>6</v>
      </c>
      <c r="B10" s="5" t="s">
        <v>7</v>
      </c>
      <c r="C10" s="7">
        <v>2610600000</v>
      </c>
    </row>
    <row r="11" spans="1:4" ht="15.75" x14ac:dyDescent="0.25">
      <c r="A11" s="5" t="s">
        <v>8</v>
      </c>
      <c r="B11" s="5" t="s">
        <v>9</v>
      </c>
      <c r="C11" s="7"/>
    </row>
    <row r="12" spans="1:4" ht="15.75" x14ac:dyDescent="0.25">
      <c r="A12" s="5" t="s">
        <v>10</v>
      </c>
      <c r="B12" s="5" t="s">
        <v>11</v>
      </c>
      <c r="C12" s="7">
        <v>90215</v>
      </c>
    </row>
    <row r="13" spans="1:4" ht="22.5" customHeight="1" x14ac:dyDescent="0.25">
      <c r="A13" s="5" t="s">
        <v>12</v>
      </c>
      <c r="B13" s="5" t="s">
        <v>13</v>
      </c>
      <c r="C13" s="7" t="s">
        <v>14</v>
      </c>
    </row>
    <row r="14" spans="1:4" ht="15.75" x14ac:dyDescent="0.25">
      <c r="A14" s="268" t="s">
        <v>18</v>
      </c>
      <c r="B14" s="268"/>
      <c r="C14" s="5" t="s">
        <v>0</v>
      </c>
    </row>
    <row r="15" spans="1:4" ht="15.75" x14ac:dyDescent="0.25">
      <c r="A15" s="268" t="s">
        <v>19</v>
      </c>
      <c r="B15" s="268"/>
      <c r="C15" s="5" t="s">
        <v>0</v>
      </c>
    </row>
    <row r="16" spans="1:4" ht="15.75" x14ac:dyDescent="0.25">
      <c r="A16" s="268" t="s">
        <v>15</v>
      </c>
      <c r="B16" s="268"/>
      <c r="C16" s="268"/>
    </row>
    <row r="17" spans="1:3" ht="15.75" x14ac:dyDescent="0.25">
      <c r="A17" s="268" t="s">
        <v>16</v>
      </c>
      <c r="B17" s="268"/>
      <c r="C17" s="268"/>
    </row>
    <row r="18" spans="1:3" ht="15.75" x14ac:dyDescent="0.25">
      <c r="A18" s="268" t="s">
        <v>17</v>
      </c>
      <c r="B18" s="268"/>
      <c r="C18" s="268"/>
    </row>
    <row r="19" spans="1:3" ht="15.75" x14ac:dyDescent="0.25">
      <c r="A19" s="268" t="s">
        <v>509</v>
      </c>
      <c r="B19" s="268"/>
      <c r="C19" s="268"/>
    </row>
  </sheetData>
  <mergeCells count="7">
    <mergeCell ref="A19:C19"/>
    <mergeCell ref="B1:C1"/>
    <mergeCell ref="A14:B14"/>
    <mergeCell ref="A15:B15"/>
    <mergeCell ref="A16:C16"/>
    <mergeCell ref="A17:C17"/>
    <mergeCell ref="A18:C18"/>
  </mergeCells>
  <pageMargins left="0.7" right="0.7" top="0.75" bottom="0.75" header="0.3" footer="0.3"/>
  <pageSetup paperSize="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Normal="100" workbookViewId="0">
      <selection activeCell="M8" sqref="M8"/>
    </sheetView>
  </sheetViews>
  <sheetFormatPr defaultRowHeight="12.75" x14ac:dyDescent="0.2"/>
  <cols>
    <col min="1" max="1" width="12.28515625" style="27" customWidth="1"/>
    <col min="2" max="2" width="7.85546875" style="27" customWidth="1"/>
    <col min="3" max="12" width="8.7109375" style="27" customWidth="1"/>
    <col min="13" max="15" width="8.7109375" style="209" customWidth="1"/>
    <col min="16" max="16384" width="9.140625" style="27"/>
  </cols>
  <sheetData>
    <row r="1" spans="1:15" ht="50.25" customHeight="1" thickBot="1" x14ac:dyDescent="0.25">
      <c r="A1" s="321" t="s">
        <v>356</v>
      </c>
      <c r="B1" s="321"/>
      <c r="C1" s="321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</row>
    <row r="2" spans="1:15" ht="49.5" customHeight="1" x14ac:dyDescent="0.2">
      <c r="A2" s="295" t="s">
        <v>357</v>
      </c>
      <c r="B2" s="323" t="s">
        <v>358</v>
      </c>
      <c r="C2" s="324"/>
      <c r="D2" s="325" t="s">
        <v>512</v>
      </c>
      <c r="E2" s="326"/>
      <c r="F2" s="327"/>
      <c r="G2" s="325" t="s">
        <v>513</v>
      </c>
      <c r="H2" s="326"/>
      <c r="I2" s="326"/>
      <c r="J2" s="325" t="s">
        <v>514</v>
      </c>
      <c r="K2" s="326"/>
      <c r="L2" s="327"/>
      <c r="M2" s="318" t="s">
        <v>515</v>
      </c>
      <c r="N2" s="319"/>
      <c r="O2" s="320"/>
    </row>
    <row r="3" spans="1:15" ht="184.5" customHeight="1" x14ac:dyDescent="0.2">
      <c r="A3" s="296"/>
      <c r="B3" s="43" t="s">
        <v>360</v>
      </c>
      <c r="C3" s="44" t="s">
        <v>361</v>
      </c>
      <c r="D3" s="159" t="s">
        <v>362</v>
      </c>
      <c r="E3" s="43" t="s">
        <v>363</v>
      </c>
      <c r="F3" s="160" t="s">
        <v>364</v>
      </c>
      <c r="G3" s="159" t="s">
        <v>362</v>
      </c>
      <c r="H3" s="43" t="s">
        <v>363</v>
      </c>
      <c r="I3" s="44" t="s">
        <v>364</v>
      </c>
      <c r="J3" s="159" t="s">
        <v>362</v>
      </c>
      <c r="K3" s="43" t="s">
        <v>363</v>
      </c>
      <c r="L3" s="160" t="s">
        <v>364</v>
      </c>
      <c r="M3" s="216" t="s">
        <v>362</v>
      </c>
      <c r="N3" s="217" t="s">
        <v>363</v>
      </c>
      <c r="O3" s="218" t="s">
        <v>364</v>
      </c>
    </row>
    <row r="4" spans="1:15" s="46" customFormat="1" x14ac:dyDescent="0.2">
      <c r="A4" s="37">
        <v>1</v>
      </c>
      <c r="B4" s="37">
        <v>2</v>
      </c>
      <c r="C4" s="45">
        <v>3</v>
      </c>
      <c r="D4" s="161">
        <v>4</v>
      </c>
      <c r="E4" s="37">
        <v>5</v>
      </c>
      <c r="F4" s="162">
        <v>6</v>
      </c>
      <c r="G4" s="161">
        <v>7</v>
      </c>
      <c r="H4" s="37">
        <v>8</v>
      </c>
      <c r="I4" s="162">
        <v>9</v>
      </c>
      <c r="J4" s="158">
        <v>10</v>
      </c>
      <c r="K4" s="37">
        <v>11</v>
      </c>
      <c r="L4" s="162">
        <v>12</v>
      </c>
      <c r="M4" s="219">
        <v>13</v>
      </c>
      <c r="N4" s="220">
        <v>14</v>
      </c>
      <c r="O4" s="221">
        <v>15</v>
      </c>
    </row>
    <row r="5" spans="1:15" ht="63.75" x14ac:dyDescent="0.2">
      <c r="A5" s="34" t="s">
        <v>365</v>
      </c>
      <c r="B5" s="34">
        <f>D5/D8*100</f>
        <v>98.416635756676556</v>
      </c>
      <c r="C5" s="157">
        <f>M5/M8*100</f>
        <v>99.381759643171463</v>
      </c>
      <c r="D5" s="163">
        <v>12735.9</v>
      </c>
      <c r="E5" s="151">
        <v>2.2999999999999998</v>
      </c>
      <c r="F5" s="164">
        <f>D5/E5</f>
        <v>5537.347826086957</v>
      </c>
      <c r="G5" s="163">
        <v>24669.4</v>
      </c>
      <c r="H5" s="34">
        <v>4.8</v>
      </c>
      <c r="I5" s="168">
        <f>G5/H5</f>
        <v>5139.4583333333339</v>
      </c>
      <c r="J5" s="169">
        <v>6824.4</v>
      </c>
      <c r="K5" s="34">
        <v>1.6</v>
      </c>
      <c r="L5" s="168">
        <f>J5/K5</f>
        <v>4265.2499999999991</v>
      </c>
      <c r="M5" s="222">
        <f>(довідка!$F$8*довідка!$B$10+довідка!$F$9*довідка!$B$11)</f>
        <v>35671.366450000001</v>
      </c>
      <c r="N5" s="223">
        <f>довідка!$F$7</f>
        <v>6.4629999999999992</v>
      </c>
      <c r="O5" s="224">
        <f>M5/N5</f>
        <v>5519.3201995977106</v>
      </c>
    </row>
    <row r="6" spans="1:15" ht="53.25" customHeight="1" x14ac:dyDescent="0.2">
      <c r="A6" s="34" t="s">
        <v>381</v>
      </c>
      <c r="B6" s="34">
        <f>D6/D8*100</f>
        <v>1.2317631058358063</v>
      </c>
      <c r="C6" s="157">
        <f>M6/M8*100</f>
        <v>0.48095418681536434</v>
      </c>
      <c r="D6" s="163">
        <v>159.4</v>
      </c>
      <c r="E6" s="151">
        <v>12</v>
      </c>
      <c r="F6" s="164">
        <f>D6/E6</f>
        <v>13.283333333333333</v>
      </c>
      <c r="G6" s="163">
        <v>120.8</v>
      </c>
      <c r="H6" s="34">
        <v>12</v>
      </c>
      <c r="I6" s="168">
        <f>G6/H6</f>
        <v>10.066666666666666</v>
      </c>
      <c r="J6" s="169">
        <v>251.2</v>
      </c>
      <c r="K6" s="34">
        <v>6</v>
      </c>
      <c r="L6" s="168">
        <f>J6/K6</f>
        <v>41.866666666666667</v>
      </c>
      <c r="M6" s="222">
        <f>$D$6*довідка!$B$1/100</f>
        <v>172.6302</v>
      </c>
      <c r="N6" s="223">
        <v>12</v>
      </c>
      <c r="O6" s="224">
        <f>M6/N6</f>
        <v>14.38585</v>
      </c>
    </row>
    <row r="7" spans="1:15" ht="53.25" customHeight="1" x14ac:dyDescent="0.2">
      <c r="A7" s="34" t="s">
        <v>489</v>
      </c>
      <c r="B7" s="34">
        <f>D7/D8*100</f>
        <v>0.35160113748763605</v>
      </c>
      <c r="C7" s="157">
        <f>M7/M8*100</f>
        <v>0.13728617001316862</v>
      </c>
      <c r="D7" s="163">
        <v>45.5</v>
      </c>
      <c r="E7" s="151">
        <v>6</v>
      </c>
      <c r="F7" s="164">
        <f>D7/E7</f>
        <v>7.583333333333333</v>
      </c>
      <c r="G7" s="163">
        <v>24.7</v>
      </c>
      <c r="H7" s="34">
        <v>0</v>
      </c>
      <c r="I7" s="168">
        <v>0</v>
      </c>
      <c r="J7" s="169">
        <v>34.4</v>
      </c>
      <c r="K7" s="34">
        <v>3</v>
      </c>
      <c r="L7" s="168">
        <f>J7/K7</f>
        <v>11.466666666666667</v>
      </c>
      <c r="M7" s="222">
        <f>D7*довідка!B1/100</f>
        <v>49.276499999999999</v>
      </c>
      <c r="N7" s="223">
        <f>довідка!$F$7</f>
        <v>6.4629999999999992</v>
      </c>
      <c r="O7" s="224">
        <f>M7/N7</f>
        <v>7.6244004332353406</v>
      </c>
    </row>
    <row r="8" spans="1:15" s="64" customFormat="1" ht="13.5" thickBot="1" x14ac:dyDescent="0.25">
      <c r="A8" s="52" t="s">
        <v>227</v>
      </c>
      <c r="B8" s="52">
        <f>SUM(B5:B7)</f>
        <v>100</v>
      </c>
      <c r="C8" s="138">
        <f t="shared" ref="C8" si="0">SUM(C5:C7)</f>
        <v>100</v>
      </c>
      <c r="D8" s="165">
        <f>SUM(D5:D7)</f>
        <v>12940.8</v>
      </c>
      <c r="E8" s="166" t="s">
        <v>0</v>
      </c>
      <c r="F8" s="167"/>
      <c r="G8" s="165">
        <f>SUM(G5:G7)</f>
        <v>24814.9</v>
      </c>
      <c r="H8" s="166"/>
      <c r="I8" s="167"/>
      <c r="J8" s="170">
        <f>SUM(J5:J7)</f>
        <v>7109.9999999999991</v>
      </c>
      <c r="K8" s="166"/>
      <c r="L8" s="167"/>
      <c r="M8" s="225">
        <f>SUM(M5:M7)</f>
        <v>35893.273150000001</v>
      </c>
      <c r="N8" s="226"/>
      <c r="O8" s="227"/>
    </row>
  </sheetData>
  <mergeCells count="7">
    <mergeCell ref="M2:O2"/>
    <mergeCell ref="A1:O1"/>
    <mergeCell ref="A2:A3"/>
    <mergeCell ref="B2:C2"/>
    <mergeCell ref="D2:F2"/>
    <mergeCell ref="G2:I2"/>
    <mergeCell ref="J2:L2"/>
  </mergeCells>
  <pageMargins left="0.7" right="0.7" top="0.75" bottom="0.75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zoomScaleNormal="100" workbookViewId="0">
      <selection sqref="A1:XFD1"/>
    </sheetView>
  </sheetViews>
  <sheetFormatPr defaultRowHeight="15" x14ac:dyDescent="0.25"/>
  <cols>
    <col min="1" max="1" width="18.140625" customWidth="1"/>
    <col min="2" max="2" width="23.140625" customWidth="1"/>
    <col min="3" max="7" width="18.140625" customWidth="1"/>
  </cols>
  <sheetData>
    <row r="1" spans="1:7" ht="50.25" customHeight="1" x14ac:dyDescent="0.25">
      <c r="A1" s="317" t="s">
        <v>419</v>
      </c>
      <c r="B1" s="317"/>
      <c r="C1" s="317"/>
      <c r="D1" s="317"/>
      <c r="E1" s="317"/>
      <c r="F1" s="317"/>
      <c r="G1" s="317"/>
    </row>
    <row r="2" spans="1:7" ht="38.25" x14ac:dyDescent="0.25">
      <c r="A2" s="139" t="s">
        <v>420</v>
      </c>
      <c r="B2" s="139" t="s">
        <v>421</v>
      </c>
      <c r="C2" s="139" t="s">
        <v>422</v>
      </c>
      <c r="D2" s="139" t="s">
        <v>423</v>
      </c>
      <c r="E2" s="139" t="s">
        <v>424</v>
      </c>
      <c r="F2" s="139" t="s">
        <v>425</v>
      </c>
      <c r="G2" s="139" t="s">
        <v>426</v>
      </c>
    </row>
    <row r="3" spans="1:7" x14ac:dyDescent="0.25">
      <c r="A3" s="139">
        <v>1</v>
      </c>
      <c r="B3" s="139">
        <v>2</v>
      </c>
      <c r="C3" s="139">
        <v>3</v>
      </c>
      <c r="D3" s="139">
        <v>4</v>
      </c>
      <c r="E3" s="139">
        <v>5</v>
      </c>
      <c r="F3" s="139">
        <v>6</v>
      </c>
      <c r="G3" s="139">
        <v>7</v>
      </c>
    </row>
    <row r="4" spans="1:7" x14ac:dyDescent="0.25">
      <c r="A4" s="139" t="s">
        <v>0</v>
      </c>
      <c r="B4" s="139" t="s">
        <v>0</v>
      </c>
      <c r="C4" s="139" t="s">
        <v>0</v>
      </c>
      <c r="D4" s="139" t="s">
        <v>0</v>
      </c>
      <c r="E4" s="139" t="s">
        <v>0</v>
      </c>
      <c r="F4" s="139" t="s">
        <v>0</v>
      </c>
      <c r="G4" s="139" t="s">
        <v>0</v>
      </c>
    </row>
    <row r="5" spans="1:7" x14ac:dyDescent="0.25">
      <c r="A5" s="139" t="s">
        <v>0</v>
      </c>
      <c r="B5" s="139" t="s">
        <v>0</v>
      </c>
      <c r="C5" s="139" t="s">
        <v>0</v>
      </c>
      <c r="D5" s="139" t="s">
        <v>0</v>
      </c>
      <c r="E5" s="139" t="s">
        <v>0</v>
      </c>
      <c r="F5" s="139" t="s">
        <v>0</v>
      </c>
      <c r="G5" s="139" t="s">
        <v>0</v>
      </c>
    </row>
    <row r="6" spans="1:7" x14ac:dyDescent="0.25">
      <c r="A6" s="139" t="s">
        <v>0</v>
      </c>
      <c r="B6" s="139" t="s">
        <v>0</v>
      </c>
      <c r="C6" s="139" t="s">
        <v>0</v>
      </c>
      <c r="D6" s="139" t="s">
        <v>0</v>
      </c>
      <c r="E6" s="139" t="s">
        <v>0</v>
      </c>
      <c r="F6" s="139" t="s">
        <v>0</v>
      </c>
      <c r="G6" s="139" t="s">
        <v>0</v>
      </c>
    </row>
    <row r="7" spans="1:7" x14ac:dyDescent="0.25">
      <c r="A7" s="140" t="s">
        <v>227</v>
      </c>
      <c r="B7" s="140" t="s">
        <v>427</v>
      </c>
      <c r="C7" s="140" t="s">
        <v>427</v>
      </c>
      <c r="D7" s="139" t="s">
        <v>428</v>
      </c>
      <c r="E7" s="140" t="s">
        <v>0</v>
      </c>
      <c r="F7" s="139" t="s">
        <v>429</v>
      </c>
      <c r="G7" s="140" t="s">
        <v>0</v>
      </c>
    </row>
  </sheetData>
  <mergeCells count="1">
    <mergeCell ref="A1:G1"/>
  </mergeCells>
  <pageMargins left="0.7" right="0.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>
      <selection activeCell="H9" sqref="H9"/>
    </sheetView>
  </sheetViews>
  <sheetFormatPr defaultRowHeight="15" x14ac:dyDescent="0.25"/>
  <cols>
    <col min="1" max="5" width="26.7109375" customWidth="1"/>
  </cols>
  <sheetData>
    <row r="1" spans="1:5" ht="50.25" customHeight="1" x14ac:dyDescent="0.25">
      <c r="A1" s="328" t="s">
        <v>430</v>
      </c>
      <c r="B1" s="328"/>
      <c r="C1" s="328"/>
      <c r="D1" s="328"/>
      <c r="E1" s="328"/>
    </row>
    <row r="2" spans="1:5" ht="25.5" x14ac:dyDescent="0.25">
      <c r="A2" s="139" t="s">
        <v>431</v>
      </c>
      <c r="B2" s="139" t="s">
        <v>432</v>
      </c>
      <c r="C2" s="139" t="s">
        <v>433</v>
      </c>
      <c r="D2" s="139" t="s">
        <v>434</v>
      </c>
      <c r="E2" s="139" t="s">
        <v>435</v>
      </c>
    </row>
    <row r="3" spans="1:5" x14ac:dyDescent="0.25">
      <c r="A3" s="139">
        <v>1</v>
      </c>
      <c r="B3" s="139">
        <v>2</v>
      </c>
      <c r="C3" s="139">
        <v>3</v>
      </c>
      <c r="D3" s="139">
        <v>4</v>
      </c>
      <c r="E3" s="139">
        <v>5</v>
      </c>
    </row>
    <row r="4" spans="1:5" ht="25.5" x14ac:dyDescent="0.25">
      <c r="A4" s="141" t="s">
        <v>436</v>
      </c>
      <c r="B4" s="139" t="s">
        <v>0</v>
      </c>
      <c r="C4" s="139" t="s">
        <v>0</v>
      </c>
      <c r="D4" s="139" t="s">
        <v>0</v>
      </c>
      <c r="E4" s="139" t="s">
        <v>429</v>
      </c>
    </row>
    <row r="5" spans="1:5" x14ac:dyDescent="0.25">
      <c r="A5" s="141" t="s">
        <v>437</v>
      </c>
      <c r="B5" s="139" t="s">
        <v>0</v>
      </c>
      <c r="C5" s="139" t="s">
        <v>0</v>
      </c>
      <c r="D5" s="139" t="s">
        <v>0</v>
      </c>
      <c r="E5" s="139" t="s">
        <v>0</v>
      </c>
    </row>
    <row r="6" spans="1:5" x14ac:dyDescent="0.25">
      <c r="A6" s="141" t="s">
        <v>0</v>
      </c>
      <c r="B6" s="139" t="s">
        <v>0</v>
      </c>
      <c r="C6" s="139" t="s">
        <v>0</v>
      </c>
      <c r="D6" s="139" t="s">
        <v>0</v>
      </c>
      <c r="E6" s="139" t="s">
        <v>0</v>
      </c>
    </row>
    <row r="7" spans="1:5" ht="25.5" x14ac:dyDescent="0.25">
      <c r="A7" s="141" t="s">
        <v>438</v>
      </c>
      <c r="B7" s="139" t="s">
        <v>0</v>
      </c>
      <c r="C7" s="139" t="s">
        <v>0</v>
      </c>
      <c r="D7" s="139" t="s">
        <v>0</v>
      </c>
      <c r="E7" s="139" t="s">
        <v>429</v>
      </c>
    </row>
    <row r="8" spans="1:5" x14ac:dyDescent="0.25">
      <c r="A8" s="141" t="s">
        <v>439</v>
      </c>
      <c r="B8" s="139" t="s">
        <v>0</v>
      </c>
      <c r="C8" s="139" t="s">
        <v>0</v>
      </c>
      <c r="D8" s="139" t="s">
        <v>0</v>
      </c>
      <c r="E8" s="139" t="s">
        <v>0</v>
      </c>
    </row>
    <row r="9" spans="1:5" x14ac:dyDescent="0.25">
      <c r="A9" s="141" t="s">
        <v>0</v>
      </c>
      <c r="B9" s="139" t="s">
        <v>0</v>
      </c>
      <c r="C9" s="139" t="s">
        <v>0</v>
      </c>
      <c r="D9" s="139" t="s">
        <v>0</v>
      </c>
      <c r="E9" s="139" t="s">
        <v>0</v>
      </c>
    </row>
    <row r="10" spans="1:5" ht="25.5" x14ac:dyDescent="0.25">
      <c r="A10" s="141" t="s">
        <v>440</v>
      </c>
      <c r="B10" s="139" t="s">
        <v>0</v>
      </c>
      <c r="C10" s="139" t="s">
        <v>0</v>
      </c>
      <c r="D10" s="139" t="s">
        <v>0</v>
      </c>
      <c r="E10" s="139" t="s">
        <v>429</v>
      </c>
    </row>
    <row r="11" spans="1:5" x14ac:dyDescent="0.25">
      <c r="A11" s="141" t="s">
        <v>437</v>
      </c>
      <c r="B11" s="139" t="s">
        <v>0</v>
      </c>
      <c r="C11" s="139" t="s">
        <v>0</v>
      </c>
      <c r="D11" s="139" t="s">
        <v>0</v>
      </c>
      <c r="E11" s="139" t="s">
        <v>0</v>
      </c>
    </row>
    <row r="12" spans="1:5" x14ac:dyDescent="0.25">
      <c r="A12" s="141" t="s">
        <v>0</v>
      </c>
      <c r="B12" s="139" t="s">
        <v>0</v>
      </c>
      <c r="C12" s="139" t="s">
        <v>0</v>
      </c>
      <c r="D12" s="139" t="s">
        <v>0</v>
      </c>
      <c r="E12" s="139" t="s">
        <v>0</v>
      </c>
    </row>
    <row r="13" spans="1:5" x14ac:dyDescent="0.25">
      <c r="A13" s="142" t="s">
        <v>227</v>
      </c>
      <c r="B13" s="140" t="s">
        <v>429</v>
      </c>
      <c r="C13" s="140" t="s">
        <v>429</v>
      </c>
      <c r="D13" s="140" t="s">
        <v>429</v>
      </c>
      <c r="E13" s="140" t="s">
        <v>429</v>
      </c>
    </row>
  </sheetData>
  <mergeCells count="1">
    <mergeCell ref="A1:E1"/>
  </mergeCells>
  <pageMargins left="0.7" right="0.7" top="0.75" bottom="0.75" header="0.3" footer="0.3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G17" sqref="G17"/>
    </sheetView>
  </sheetViews>
  <sheetFormatPr defaultRowHeight="15" x14ac:dyDescent="0.25"/>
  <cols>
    <col min="1" max="7" width="14.7109375" customWidth="1"/>
    <col min="8" max="8" width="16.28515625" customWidth="1"/>
    <col min="9" max="9" width="14.5703125" customWidth="1"/>
  </cols>
  <sheetData>
    <row r="1" spans="1:9" ht="50.25" customHeight="1" x14ac:dyDescent="0.25">
      <c r="A1" s="328" t="s">
        <v>441</v>
      </c>
      <c r="B1" s="328"/>
      <c r="C1" s="328"/>
      <c r="D1" s="328"/>
      <c r="E1" s="328"/>
      <c r="F1" s="328"/>
      <c r="G1" s="328"/>
      <c r="H1" s="328"/>
      <c r="I1" s="328"/>
    </row>
    <row r="2" spans="1:9" x14ac:dyDescent="0.25">
      <c r="A2" s="329" t="s">
        <v>385</v>
      </c>
      <c r="B2" s="329" t="s">
        <v>442</v>
      </c>
      <c r="C2" s="329" t="s">
        <v>443</v>
      </c>
      <c r="D2" s="329" t="s">
        <v>444</v>
      </c>
      <c r="E2" s="329" t="s">
        <v>445</v>
      </c>
      <c r="F2" s="329"/>
      <c r="G2" s="329"/>
      <c r="H2" s="329" t="s">
        <v>446</v>
      </c>
      <c r="I2" s="329" t="s">
        <v>347</v>
      </c>
    </row>
    <row r="3" spans="1:9" ht="25.5" x14ac:dyDescent="0.25">
      <c r="A3" s="329"/>
      <c r="B3" s="329"/>
      <c r="C3" s="329"/>
      <c r="D3" s="329"/>
      <c r="E3" s="139" t="s">
        <v>447</v>
      </c>
      <c r="F3" s="139" t="s">
        <v>448</v>
      </c>
      <c r="G3" s="139" t="s">
        <v>449</v>
      </c>
      <c r="H3" s="329"/>
      <c r="I3" s="329"/>
    </row>
    <row r="4" spans="1:9" x14ac:dyDescent="0.25">
      <c r="A4" s="139">
        <v>1</v>
      </c>
      <c r="B4" s="139">
        <v>2</v>
      </c>
      <c r="C4" s="139">
        <v>3</v>
      </c>
      <c r="D4" s="139">
        <v>4</v>
      </c>
      <c r="E4" s="139">
        <v>5</v>
      </c>
      <c r="F4" s="139">
        <v>6</v>
      </c>
      <c r="G4" s="139">
        <v>7</v>
      </c>
      <c r="H4" s="139">
        <v>8</v>
      </c>
      <c r="I4" s="139">
        <v>9</v>
      </c>
    </row>
    <row r="5" spans="1:9" x14ac:dyDescent="0.25">
      <c r="A5" s="139" t="s">
        <v>0</v>
      </c>
      <c r="B5" s="139" t="s">
        <v>0</v>
      </c>
      <c r="C5" s="139" t="s">
        <v>0</v>
      </c>
      <c r="D5" s="139" t="s">
        <v>0</v>
      </c>
      <c r="E5" s="139" t="s">
        <v>0</v>
      </c>
      <c r="F5" s="139" t="s">
        <v>0</v>
      </c>
      <c r="G5" s="139" t="s">
        <v>0</v>
      </c>
      <c r="H5" s="139" t="s">
        <v>37</v>
      </c>
      <c r="I5" s="139" t="s">
        <v>37</v>
      </c>
    </row>
    <row r="6" spans="1:9" x14ac:dyDescent="0.25">
      <c r="A6" s="139" t="s">
        <v>0</v>
      </c>
      <c r="B6" s="139" t="s">
        <v>0</v>
      </c>
      <c r="C6" s="139" t="s">
        <v>0</v>
      </c>
      <c r="D6" s="139" t="s">
        <v>0</v>
      </c>
      <c r="E6" s="139" t="s">
        <v>0</v>
      </c>
      <c r="F6" s="139" t="s">
        <v>0</v>
      </c>
      <c r="G6" s="139" t="s">
        <v>0</v>
      </c>
      <c r="H6" s="139" t="s">
        <v>37</v>
      </c>
      <c r="I6" s="139" t="s">
        <v>37</v>
      </c>
    </row>
    <row r="7" spans="1:9" x14ac:dyDescent="0.25">
      <c r="A7" s="139" t="s">
        <v>0</v>
      </c>
      <c r="B7" s="139" t="s">
        <v>0</v>
      </c>
      <c r="C7" s="139" t="s">
        <v>0</v>
      </c>
      <c r="D7" s="139" t="s">
        <v>0</v>
      </c>
      <c r="E7" s="139" t="s">
        <v>0</v>
      </c>
      <c r="F7" s="139" t="s">
        <v>0</v>
      </c>
      <c r="G7" s="139" t="s">
        <v>0</v>
      </c>
      <c r="H7" s="139" t="s">
        <v>37</v>
      </c>
      <c r="I7" s="139" t="s">
        <v>37</v>
      </c>
    </row>
    <row r="8" spans="1:9" x14ac:dyDescent="0.25">
      <c r="A8" s="139" t="s">
        <v>0</v>
      </c>
      <c r="B8" s="139" t="s">
        <v>0</v>
      </c>
      <c r="C8" s="139" t="s">
        <v>0</v>
      </c>
      <c r="D8" s="139" t="s">
        <v>0</v>
      </c>
      <c r="E8" s="139" t="s">
        <v>0</v>
      </c>
      <c r="F8" s="139" t="s">
        <v>0</v>
      </c>
      <c r="G8" s="139" t="s">
        <v>0</v>
      </c>
      <c r="H8" s="139" t="s">
        <v>37</v>
      </c>
      <c r="I8" s="139" t="s">
        <v>37</v>
      </c>
    </row>
    <row r="9" spans="1:9" x14ac:dyDescent="0.25">
      <c r="A9" s="330" t="s">
        <v>227</v>
      </c>
      <c r="B9" s="330"/>
      <c r="C9" s="330"/>
      <c r="D9" s="330"/>
      <c r="E9" s="139" t="s">
        <v>429</v>
      </c>
      <c r="F9" s="139" t="s">
        <v>37</v>
      </c>
      <c r="G9" s="140" t="s">
        <v>37</v>
      </c>
      <c r="H9" s="139" t="s">
        <v>37</v>
      </c>
      <c r="I9" s="139" t="s">
        <v>37</v>
      </c>
    </row>
  </sheetData>
  <mergeCells count="9">
    <mergeCell ref="H2:H3"/>
    <mergeCell ref="I2:I3"/>
    <mergeCell ref="A1:I1"/>
    <mergeCell ref="A2:A3"/>
    <mergeCell ref="A9:D9"/>
    <mergeCell ref="B2:B3"/>
    <mergeCell ref="C2:C3"/>
    <mergeCell ref="D2:D3"/>
    <mergeCell ref="E2:G2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Normal="100" workbookViewId="0">
      <selection activeCell="E2" sqref="E2:E4"/>
    </sheetView>
  </sheetViews>
  <sheetFormatPr defaultRowHeight="15" x14ac:dyDescent="0.25"/>
  <cols>
    <col min="1" max="3" width="11.5703125" customWidth="1"/>
    <col min="4" max="4" width="12.5703125" customWidth="1"/>
    <col min="5" max="5" width="12.7109375" customWidth="1"/>
    <col min="6" max="10" width="14.28515625" customWidth="1"/>
  </cols>
  <sheetData>
    <row r="1" spans="1:11" ht="50.25" customHeight="1" x14ac:dyDescent="0.25">
      <c r="A1" s="328" t="s">
        <v>450</v>
      </c>
      <c r="B1" s="328"/>
      <c r="C1" s="328"/>
      <c r="D1" s="328"/>
      <c r="E1" s="328"/>
      <c r="F1" s="328"/>
      <c r="G1" s="328"/>
      <c r="H1" s="328"/>
      <c r="I1" s="328"/>
      <c r="J1" s="328"/>
    </row>
    <row r="2" spans="1:11" ht="33" customHeight="1" x14ac:dyDescent="0.25">
      <c r="A2" s="329" t="s">
        <v>385</v>
      </c>
      <c r="B2" s="329" t="s">
        <v>451</v>
      </c>
      <c r="C2" s="329" t="s">
        <v>442</v>
      </c>
      <c r="D2" s="329" t="s">
        <v>444</v>
      </c>
      <c r="E2" s="329" t="s">
        <v>452</v>
      </c>
      <c r="F2" s="329" t="s">
        <v>445</v>
      </c>
      <c r="G2" s="329"/>
      <c r="H2" s="329"/>
      <c r="I2" s="329" t="s">
        <v>446</v>
      </c>
      <c r="J2" s="329" t="s">
        <v>347</v>
      </c>
      <c r="K2" s="1"/>
    </row>
    <row r="3" spans="1:11" ht="35.25" customHeight="1" x14ac:dyDescent="0.25">
      <c r="A3" s="329"/>
      <c r="B3" s="329"/>
      <c r="C3" s="329"/>
      <c r="D3" s="329"/>
      <c r="E3" s="329"/>
      <c r="F3" s="329" t="s">
        <v>447</v>
      </c>
      <c r="G3" s="329" t="s">
        <v>448</v>
      </c>
      <c r="H3" s="329" t="s">
        <v>449</v>
      </c>
      <c r="I3" s="329"/>
      <c r="J3" s="329"/>
      <c r="K3" s="2"/>
    </row>
    <row r="4" spans="1:11" x14ac:dyDescent="0.25">
      <c r="A4" s="329"/>
      <c r="B4" s="329"/>
      <c r="C4" s="329"/>
      <c r="D4" s="329"/>
      <c r="E4" s="329"/>
      <c r="F4" s="329"/>
      <c r="G4" s="329"/>
      <c r="H4" s="329"/>
      <c r="I4" s="329"/>
      <c r="J4" s="329"/>
      <c r="K4" s="2"/>
    </row>
    <row r="5" spans="1:11" ht="15.75" x14ac:dyDescent="0.25">
      <c r="A5" s="139">
        <v>1</v>
      </c>
      <c r="B5" s="139">
        <v>2</v>
      </c>
      <c r="C5" s="139">
        <v>3</v>
      </c>
      <c r="D5" s="139">
        <v>4</v>
      </c>
      <c r="E5" s="139">
        <v>5</v>
      </c>
      <c r="F5" s="139">
        <v>6</v>
      </c>
      <c r="G5" s="139">
        <v>7</v>
      </c>
      <c r="H5" s="139">
        <v>8</v>
      </c>
      <c r="I5" s="139">
        <v>9</v>
      </c>
      <c r="J5" s="139">
        <v>10</v>
      </c>
      <c r="K5" s="1"/>
    </row>
    <row r="6" spans="1:11" ht="15.75" x14ac:dyDescent="0.25">
      <c r="A6" s="139" t="s">
        <v>0</v>
      </c>
      <c r="B6" s="141" t="s">
        <v>0</v>
      </c>
      <c r="C6" s="141" t="s">
        <v>0</v>
      </c>
      <c r="D6" s="139" t="s">
        <v>0</v>
      </c>
      <c r="E6" s="139" t="s">
        <v>0</v>
      </c>
      <c r="F6" s="139" t="s">
        <v>0</v>
      </c>
      <c r="G6" s="139" t="s">
        <v>0</v>
      </c>
      <c r="H6" s="139" t="s">
        <v>0</v>
      </c>
      <c r="I6" s="139" t="s">
        <v>37</v>
      </c>
      <c r="J6" s="139" t="s">
        <v>37</v>
      </c>
      <c r="K6" s="1"/>
    </row>
    <row r="7" spans="1:11" ht="15.75" x14ac:dyDescent="0.25">
      <c r="A7" s="139" t="s">
        <v>0</v>
      </c>
      <c r="B7" s="141" t="s">
        <v>0</v>
      </c>
      <c r="C7" s="141" t="s">
        <v>0</v>
      </c>
      <c r="D7" s="139" t="s">
        <v>0</v>
      </c>
      <c r="E7" s="139" t="s">
        <v>0</v>
      </c>
      <c r="F7" s="139" t="s">
        <v>0</v>
      </c>
      <c r="G7" s="139" t="s">
        <v>0</v>
      </c>
      <c r="H7" s="139" t="s">
        <v>0</v>
      </c>
      <c r="I7" s="139" t="s">
        <v>37</v>
      </c>
      <c r="J7" s="139" t="s">
        <v>37</v>
      </c>
      <c r="K7" s="1"/>
    </row>
    <row r="8" spans="1:11" ht="15.75" x14ac:dyDescent="0.25">
      <c r="A8" s="139" t="s">
        <v>0</v>
      </c>
      <c r="B8" s="141" t="s">
        <v>0</v>
      </c>
      <c r="C8" s="141" t="s">
        <v>0</v>
      </c>
      <c r="D8" s="139" t="s">
        <v>0</v>
      </c>
      <c r="E8" s="139" t="s">
        <v>0</v>
      </c>
      <c r="F8" s="139" t="s">
        <v>0</v>
      </c>
      <c r="G8" s="139" t="s">
        <v>0</v>
      </c>
      <c r="H8" s="139" t="s">
        <v>0</v>
      </c>
      <c r="I8" s="139" t="s">
        <v>37</v>
      </c>
      <c r="J8" s="139" t="s">
        <v>37</v>
      </c>
      <c r="K8" s="1"/>
    </row>
    <row r="9" spans="1:11" ht="15.75" x14ac:dyDescent="0.25">
      <c r="A9" s="139" t="s">
        <v>0</v>
      </c>
      <c r="B9" s="141" t="s">
        <v>0</v>
      </c>
      <c r="C9" s="141" t="s">
        <v>0</v>
      </c>
      <c r="D9" s="139" t="s">
        <v>0</v>
      </c>
      <c r="E9" s="139" t="s">
        <v>0</v>
      </c>
      <c r="F9" s="139" t="s">
        <v>0</v>
      </c>
      <c r="G9" s="139" t="s">
        <v>0</v>
      </c>
      <c r="H9" s="139" t="s">
        <v>0</v>
      </c>
      <c r="I9" s="139" t="s">
        <v>37</v>
      </c>
      <c r="J9" s="139" t="s">
        <v>37</v>
      </c>
      <c r="K9" s="1"/>
    </row>
    <row r="10" spans="1:11" ht="15.75" x14ac:dyDescent="0.25">
      <c r="A10" s="330" t="s">
        <v>227</v>
      </c>
      <c r="B10" s="330"/>
      <c r="C10" s="330"/>
      <c r="D10" s="330"/>
      <c r="E10" s="139" t="s">
        <v>0</v>
      </c>
      <c r="F10" s="140">
        <v>0</v>
      </c>
      <c r="G10" s="142">
        <v>0</v>
      </c>
      <c r="H10" s="140">
        <v>0</v>
      </c>
      <c r="I10" s="139" t="s">
        <v>37</v>
      </c>
      <c r="J10" s="139" t="s">
        <v>37</v>
      </c>
      <c r="K10" s="1"/>
    </row>
  </sheetData>
  <mergeCells count="13">
    <mergeCell ref="A1:J1"/>
    <mergeCell ref="A2:A4"/>
    <mergeCell ref="J2:J4"/>
    <mergeCell ref="F3:F4"/>
    <mergeCell ref="G3:G4"/>
    <mergeCell ref="H3:H4"/>
    <mergeCell ref="F2:H2"/>
    <mergeCell ref="I2:I4"/>
    <mergeCell ref="A10:D10"/>
    <mergeCell ref="B2:B4"/>
    <mergeCell ref="C2:C4"/>
    <mergeCell ref="D2:D4"/>
    <mergeCell ref="E2:E4"/>
  </mergeCells>
  <pageMargins left="0.7" right="0.7" top="0.75" bottom="0.75" header="0.3" footer="0.3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"/>
  <sheetViews>
    <sheetView zoomScale="120" zoomScaleNormal="120" workbookViewId="0">
      <selection activeCell="L15" sqref="L15"/>
    </sheetView>
  </sheetViews>
  <sheetFormatPr defaultRowHeight="15" x14ac:dyDescent="0.25"/>
  <cols>
    <col min="1" max="1" width="3.42578125" customWidth="1"/>
    <col min="2" max="2" width="19.28515625" customWidth="1"/>
    <col min="3" max="3" width="3.140625" customWidth="1"/>
    <col min="4" max="7" width="4.140625" customWidth="1"/>
    <col min="8" max="8" width="8.5703125" customWidth="1"/>
    <col min="9" max="9" width="8.28515625" style="147" customWidth="1"/>
    <col min="10" max="12" width="4.140625" customWidth="1"/>
    <col min="13" max="13" width="3.5703125" customWidth="1"/>
    <col min="14" max="17" width="4.140625" customWidth="1"/>
    <col min="18" max="18" width="4" customWidth="1"/>
    <col min="19" max="22" width="4.140625" customWidth="1"/>
    <col min="23" max="23" width="4" customWidth="1"/>
    <col min="24" max="27" width="4.140625" customWidth="1"/>
  </cols>
  <sheetData>
    <row r="1" spans="1:27" ht="49.5" customHeight="1" x14ac:dyDescent="0.25">
      <c r="A1" s="317" t="s">
        <v>453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  <c r="Q1" s="317"/>
      <c r="R1" s="317"/>
      <c r="S1" s="317"/>
      <c r="T1" s="317"/>
      <c r="U1" s="317"/>
      <c r="V1" s="317"/>
      <c r="W1" s="317"/>
      <c r="X1" s="317"/>
      <c r="Y1" s="317"/>
      <c r="Z1" s="317"/>
      <c r="AA1" s="317"/>
    </row>
    <row r="2" spans="1:27" ht="19.5" customHeight="1" x14ac:dyDescent="0.25">
      <c r="A2" s="332" t="s">
        <v>454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</row>
    <row r="3" spans="1:27" ht="29.25" customHeight="1" x14ac:dyDescent="0.25">
      <c r="A3" s="333" t="s">
        <v>385</v>
      </c>
      <c r="B3" s="329" t="s">
        <v>455</v>
      </c>
      <c r="C3" s="329" t="s">
        <v>456</v>
      </c>
      <c r="D3" s="329"/>
      <c r="E3" s="329"/>
      <c r="F3" s="329"/>
      <c r="G3" s="329"/>
      <c r="H3" s="329" t="s">
        <v>457</v>
      </c>
      <c r="I3" s="329"/>
      <c r="J3" s="329"/>
      <c r="K3" s="329"/>
      <c r="L3" s="329"/>
      <c r="M3" s="329" t="s">
        <v>458</v>
      </c>
      <c r="N3" s="329"/>
      <c r="O3" s="329"/>
      <c r="P3" s="329"/>
      <c r="Q3" s="329"/>
      <c r="R3" s="329" t="s">
        <v>459</v>
      </c>
      <c r="S3" s="329"/>
      <c r="T3" s="329"/>
      <c r="U3" s="329"/>
      <c r="V3" s="329"/>
      <c r="W3" s="329" t="s">
        <v>227</v>
      </c>
      <c r="X3" s="329"/>
      <c r="Y3" s="329"/>
      <c r="Z3" s="329"/>
      <c r="AA3" s="329"/>
    </row>
    <row r="4" spans="1:27" ht="30" customHeight="1" x14ac:dyDescent="0.25">
      <c r="A4" s="334"/>
      <c r="B4" s="329"/>
      <c r="C4" s="329" t="s">
        <v>460</v>
      </c>
      <c r="D4" s="329" t="s">
        <v>461</v>
      </c>
      <c r="E4" s="329"/>
      <c r="F4" s="329"/>
      <c r="G4" s="329"/>
      <c r="H4" s="329" t="s">
        <v>460</v>
      </c>
      <c r="I4" s="329" t="s">
        <v>461</v>
      </c>
      <c r="J4" s="329"/>
      <c r="K4" s="329"/>
      <c r="L4" s="329"/>
      <c r="M4" s="329" t="s">
        <v>460</v>
      </c>
      <c r="N4" s="329" t="s">
        <v>461</v>
      </c>
      <c r="O4" s="329"/>
      <c r="P4" s="329"/>
      <c r="Q4" s="329"/>
      <c r="R4" s="329" t="s">
        <v>460</v>
      </c>
      <c r="S4" s="329" t="s">
        <v>461</v>
      </c>
      <c r="T4" s="329"/>
      <c r="U4" s="329"/>
      <c r="V4" s="329"/>
      <c r="W4" s="329" t="s">
        <v>460</v>
      </c>
      <c r="X4" s="329" t="s">
        <v>461</v>
      </c>
      <c r="Y4" s="329"/>
      <c r="Z4" s="329"/>
      <c r="AA4" s="329"/>
    </row>
    <row r="5" spans="1:27" x14ac:dyDescent="0.25">
      <c r="A5" s="335"/>
      <c r="B5" s="329"/>
      <c r="C5" s="329"/>
      <c r="D5" s="139" t="s">
        <v>462</v>
      </c>
      <c r="E5" s="139" t="s">
        <v>463</v>
      </c>
      <c r="F5" s="139" t="s">
        <v>464</v>
      </c>
      <c r="G5" s="139" t="s">
        <v>465</v>
      </c>
      <c r="H5" s="329"/>
      <c r="I5" s="145" t="s">
        <v>462</v>
      </c>
      <c r="J5" s="139" t="s">
        <v>463</v>
      </c>
      <c r="K5" s="139" t="s">
        <v>464</v>
      </c>
      <c r="L5" s="139" t="s">
        <v>465</v>
      </c>
      <c r="M5" s="329"/>
      <c r="N5" s="139" t="s">
        <v>462</v>
      </c>
      <c r="O5" s="139" t="s">
        <v>463</v>
      </c>
      <c r="P5" s="139" t="s">
        <v>464</v>
      </c>
      <c r="Q5" s="139" t="s">
        <v>465</v>
      </c>
      <c r="R5" s="329"/>
      <c r="S5" s="139" t="s">
        <v>462</v>
      </c>
      <c r="T5" s="139" t="s">
        <v>463</v>
      </c>
      <c r="U5" s="139" t="s">
        <v>464</v>
      </c>
      <c r="V5" s="139" t="s">
        <v>465</v>
      </c>
      <c r="W5" s="329"/>
      <c r="X5" s="139" t="s">
        <v>462</v>
      </c>
      <c r="Y5" s="139" t="s">
        <v>463</v>
      </c>
      <c r="Z5" s="139" t="s">
        <v>464</v>
      </c>
      <c r="AA5" s="139" t="s">
        <v>465</v>
      </c>
    </row>
    <row r="6" spans="1:27" ht="17.25" customHeight="1" x14ac:dyDescent="0.25">
      <c r="A6" s="139">
        <v>1</v>
      </c>
      <c r="B6" s="139">
        <v>2</v>
      </c>
      <c r="C6" s="139">
        <v>3</v>
      </c>
      <c r="D6" s="139">
        <v>4</v>
      </c>
      <c r="E6" s="139">
        <v>5</v>
      </c>
      <c r="F6" s="139">
        <v>6</v>
      </c>
      <c r="G6" s="139">
        <v>7</v>
      </c>
      <c r="H6" s="139">
        <v>8</v>
      </c>
      <c r="I6" s="145">
        <v>9</v>
      </c>
      <c r="J6" s="139">
        <v>10</v>
      </c>
      <c r="K6" s="139">
        <v>11</v>
      </c>
      <c r="L6" s="139">
        <v>12</v>
      </c>
      <c r="M6" s="139">
        <v>13</v>
      </c>
      <c r="N6" s="139">
        <v>14</v>
      </c>
      <c r="O6" s="139">
        <v>15</v>
      </c>
      <c r="P6" s="139">
        <v>16</v>
      </c>
      <c r="Q6" s="139">
        <v>17</v>
      </c>
      <c r="R6" s="139">
        <v>18</v>
      </c>
      <c r="S6" s="139">
        <v>19</v>
      </c>
      <c r="T6" s="139">
        <v>20</v>
      </c>
      <c r="U6" s="139">
        <v>21</v>
      </c>
      <c r="V6" s="139">
        <v>22</v>
      </c>
      <c r="W6" s="139">
        <v>23</v>
      </c>
      <c r="X6" s="139">
        <v>24</v>
      </c>
      <c r="Y6" s="139">
        <v>25</v>
      </c>
      <c r="Z6" s="139">
        <v>26</v>
      </c>
      <c r="AA6" s="139">
        <v>27</v>
      </c>
    </row>
    <row r="7" spans="1:27" x14ac:dyDescent="0.25">
      <c r="A7" s="144">
        <v>1</v>
      </c>
      <c r="B7" s="143"/>
      <c r="C7" s="139">
        <v>0</v>
      </c>
      <c r="D7" s="139">
        <v>0</v>
      </c>
      <c r="E7" s="139">
        <v>0</v>
      </c>
      <c r="F7" s="139">
        <v>0</v>
      </c>
      <c r="G7" s="139">
        <v>0</v>
      </c>
      <c r="H7" s="149">
        <f>SUM(I7:L7)</f>
        <v>0</v>
      </c>
      <c r="I7" s="146">
        <v>0</v>
      </c>
      <c r="J7" s="139">
        <v>0</v>
      </c>
      <c r="K7" s="139">
        <v>0</v>
      </c>
      <c r="L7" s="139">
        <v>0</v>
      </c>
      <c r="M7" s="139">
        <v>0</v>
      </c>
      <c r="N7" s="139">
        <v>0</v>
      </c>
      <c r="O7" s="139">
        <v>0</v>
      </c>
      <c r="P7" s="139">
        <v>0</v>
      </c>
      <c r="Q7" s="139">
        <v>0</v>
      </c>
      <c r="R7" s="139">
        <v>0</v>
      </c>
      <c r="S7" s="139">
        <v>0</v>
      </c>
      <c r="T7" s="139">
        <v>0</v>
      </c>
      <c r="U7" s="139">
        <v>0</v>
      </c>
      <c r="V7" s="139">
        <v>0</v>
      </c>
      <c r="W7" s="139">
        <v>0</v>
      </c>
      <c r="X7" s="139">
        <v>0</v>
      </c>
      <c r="Y7" s="139">
        <v>0</v>
      </c>
      <c r="Z7" s="139">
        <v>0</v>
      </c>
      <c r="AA7" s="139">
        <v>0</v>
      </c>
    </row>
    <row r="8" spans="1:27" x14ac:dyDescent="0.25">
      <c r="A8" s="144">
        <v>2</v>
      </c>
      <c r="B8" s="143"/>
      <c r="C8" s="139">
        <v>0</v>
      </c>
      <c r="D8" s="139">
        <v>0</v>
      </c>
      <c r="E8" s="139">
        <v>0</v>
      </c>
      <c r="F8" s="139">
        <v>0</v>
      </c>
      <c r="G8" s="139">
        <v>0</v>
      </c>
      <c r="H8" s="149">
        <f>SUM(I8:L8)</f>
        <v>0</v>
      </c>
      <c r="I8" s="146">
        <v>0</v>
      </c>
      <c r="J8" s="139">
        <v>0</v>
      </c>
      <c r="K8" s="139">
        <v>0</v>
      </c>
      <c r="L8" s="139">
        <v>0</v>
      </c>
      <c r="M8" s="139">
        <v>0</v>
      </c>
      <c r="N8" s="139">
        <v>0</v>
      </c>
      <c r="O8" s="139">
        <v>0</v>
      </c>
      <c r="P8" s="139">
        <v>0</v>
      </c>
      <c r="Q8" s="139">
        <v>0</v>
      </c>
      <c r="R8" s="139">
        <v>0</v>
      </c>
      <c r="S8" s="139">
        <v>0</v>
      </c>
      <c r="T8" s="139">
        <v>0</v>
      </c>
      <c r="U8" s="139">
        <v>0</v>
      </c>
      <c r="V8" s="139">
        <v>0</v>
      </c>
      <c r="W8" s="139">
        <v>0</v>
      </c>
      <c r="X8" s="139">
        <v>0</v>
      </c>
      <c r="Y8" s="139">
        <v>0</v>
      </c>
      <c r="Z8" s="139">
        <v>0</v>
      </c>
      <c r="AA8" s="139">
        <v>0</v>
      </c>
    </row>
    <row r="9" spans="1:27" x14ac:dyDescent="0.25">
      <c r="A9" s="144">
        <v>3</v>
      </c>
      <c r="B9" s="34"/>
      <c r="C9" s="139">
        <v>0</v>
      </c>
      <c r="D9" s="139">
        <v>0</v>
      </c>
      <c r="E9" s="139">
        <v>0</v>
      </c>
      <c r="F9" s="139">
        <v>0</v>
      </c>
      <c r="G9" s="139">
        <v>0</v>
      </c>
      <c r="H9" s="149">
        <f>SUM(I9:L9)</f>
        <v>0</v>
      </c>
      <c r="I9" s="146">
        <v>0</v>
      </c>
      <c r="J9" s="139">
        <v>0</v>
      </c>
      <c r="K9" s="139">
        <v>0</v>
      </c>
      <c r="L9" s="139">
        <v>0</v>
      </c>
      <c r="M9" s="139">
        <v>0</v>
      </c>
      <c r="N9" s="139">
        <v>0</v>
      </c>
      <c r="O9" s="139">
        <v>0</v>
      </c>
      <c r="P9" s="139">
        <v>0</v>
      </c>
      <c r="Q9" s="139">
        <v>0</v>
      </c>
      <c r="R9" s="139">
        <v>0</v>
      </c>
      <c r="S9" s="139">
        <v>0</v>
      </c>
      <c r="T9" s="139">
        <v>0</v>
      </c>
      <c r="U9" s="139">
        <v>0</v>
      </c>
      <c r="V9" s="139">
        <v>0</v>
      </c>
      <c r="W9" s="139">
        <v>0</v>
      </c>
      <c r="X9" s="139">
        <v>0</v>
      </c>
      <c r="Y9" s="139">
        <v>0</v>
      </c>
      <c r="Z9" s="139">
        <v>0</v>
      </c>
      <c r="AA9" s="139">
        <v>0</v>
      </c>
    </row>
    <row r="10" spans="1:27" ht="15.75" x14ac:dyDescent="0.25">
      <c r="A10" s="330" t="s">
        <v>227</v>
      </c>
      <c r="B10" s="330"/>
      <c r="C10" s="139"/>
      <c r="D10" s="139"/>
      <c r="E10" s="6"/>
      <c r="F10" s="6"/>
      <c r="G10" s="6"/>
      <c r="H10" s="6"/>
      <c r="I10" s="148">
        <f>SUM(I7:I9)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ht="15.75" x14ac:dyDescent="0.25">
      <c r="A11" s="331" t="s">
        <v>466</v>
      </c>
      <c r="B11" s="331"/>
      <c r="C11" s="139"/>
      <c r="D11" s="139"/>
      <c r="E11" s="6"/>
      <c r="F11" s="6"/>
      <c r="G11" s="6"/>
      <c r="H11" s="6"/>
      <c r="I11" s="145">
        <v>100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</sheetData>
  <mergeCells count="21">
    <mergeCell ref="A1:AA1"/>
    <mergeCell ref="A2:AA2"/>
    <mergeCell ref="A3:A5"/>
    <mergeCell ref="S4:V4"/>
    <mergeCell ref="W4:W5"/>
    <mergeCell ref="X4:AA4"/>
    <mergeCell ref="B3:B5"/>
    <mergeCell ref="C3:G3"/>
    <mergeCell ref="H3:L3"/>
    <mergeCell ref="M3:Q3"/>
    <mergeCell ref="R3:V3"/>
    <mergeCell ref="W3:AA3"/>
    <mergeCell ref="C4:C5"/>
    <mergeCell ref="D4:G4"/>
    <mergeCell ref="H4:H5"/>
    <mergeCell ref="I4:L4"/>
    <mergeCell ref="A10:B10"/>
    <mergeCell ref="A11:B11"/>
    <mergeCell ref="M4:M5"/>
    <mergeCell ref="N4:Q4"/>
    <mergeCell ref="R4:R5"/>
  </mergeCells>
  <pageMargins left="0.7" right="0.7" top="0.75" bottom="0.75" header="0.3" footer="0.3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zoomScaleNormal="100" workbookViewId="0">
      <selection activeCell="F30" sqref="F30"/>
    </sheetView>
  </sheetViews>
  <sheetFormatPr defaultRowHeight="15" x14ac:dyDescent="0.25"/>
  <cols>
    <col min="1" max="1" width="4.28515625" customWidth="1"/>
    <col min="2" max="2" width="17.5703125" customWidth="1"/>
    <col min="3" max="3" width="10.7109375" customWidth="1"/>
    <col min="4" max="4" width="10.5703125" customWidth="1"/>
    <col min="7" max="7" width="12.42578125" customWidth="1"/>
    <col min="8" max="8" width="11.5703125" customWidth="1"/>
    <col min="11" max="11" width="10.5703125" customWidth="1"/>
  </cols>
  <sheetData>
    <row r="1" spans="1:13" ht="49.5" customHeight="1" x14ac:dyDescent="0.25">
      <c r="A1" s="317" t="s">
        <v>467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</row>
    <row r="2" spans="1:13" ht="16.5" customHeight="1" x14ac:dyDescent="0.25">
      <c r="A2" s="336" t="s">
        <v>454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</row>
    <row r="3" spans="1:13" ht="158.25" customHeight="1" x14ac:dyDescent="0.25">
      <c r="A3" s="329" t="s">
        <v>385</v>
      </c>
      <c r="B3" s="329" t="s">
        <v>468</v>
      </c>
      <c r="C3" s="329" t="s">
        <v>469</v>
      </c>
      <c r="D3" s="329" t="s">
        <v>470</v>
      </c>
      <c r="E3" s="329" t="s">
        <v>471</v>
      </c>
      <c r="F3" s="329" t="s">
        <v>472</v>
      </c>
      <c r="G3" s="329" t="s">
        <v>27</v>
      </c>
      <c r="H3" s="329"/>
      <c r="I3" s="329"/>
      <c r="J3" s="329"/>
      <c r="K3" s="329"/>
      <c r="L3" s="340" t="s">
        <v>473</v>
      </c>
      <c r="M3" s="337" t="s">
        <v>480</v>
      </c>
    </row>
    <row r="4" spans="1:13" x14ac:dyDescent="0.25">
      <c r="A4" s="329"/>
      <c r="B4" s="329"/>
      <c r="C4" s="329"/>
      <c r="D4" s="329"/>
      <c r="E4" s="329"/>
      <c r="F4" s="329"/>
      <c r="G4" s="329" t="s">
        <v>474</v>
      </c>
      <c r="H4" s="329" t="s">
        <v>475</v>
      </c>
      <c r="I4" s="329" t="s">
        <v>476</v>
      </c>
      <c r="J4" s="329"/>
      <c r="K4" s="329"/>
      <c r="L4" s="340"/>
      <c r="M4" s="338"/>
    </row>
    <row r="5" spans="1:13" ht="74.25" customHeight="1" x14ac:dyDescent="0.25">
      <c r="A5" s="329"/>
      <c r="B5" s="329"/>
      <c r="C5" s="329"/>
      <c r="D5" s="329"/>
      <c r="E5" s="329"/>
      <c r="F5" s="329"/>
      <c r="G5" s="329"/>
      <c r="H5" s="329"/>
      <c r="I5" s="139" t="s">
        <v>477</v>
      </c>
      <c r="J5" s="139" t="s">
        <v>478</v>
      </c>
      <c r="K5" s="139" t="s">
        <v>479</v>
      </c>
      <c r="L5" s="340"/>
      <c r="M5" s="339"/>
    </row>
    <row r="6" spans="1:13" x14ac:dyDescent="0.25">
      <c r="A6" s="139">
        <v>1</v>
      </c>
      <c r="B6" s="139">
        <v>2</v>
      </c>
      <c r="C6" s="139">
        <v>3</v>
      </c>
      <c r="D6" s="139">
        <v>4</v>
      </c>
      <c r="E6" s="139">
        <v>5</v>
      </c>
      <c r="F6" s="139">
        <v>6</v>
      </c>
      <c r="G6" s="139">
        <v>7</v>
      </c>
      <c r="H6" s="139">
        <v>8</v>
      </c>
      <c r="I6" s="139">
        <v>9</v>
      </c>
      <c r="J6" s="139">
        <v>10</v>
      </c>
      <c r="K6" s="139">
        <v>11</v>
      </c>
      <c r="L6" s="139">
        <v>12</v>
      </c>
      <c r="M6" s="139">
        <v>13</v>
      </c>
    </row>
    <row r="7" spans="1:13" x14ac:dyDescent="0.25">
      <c r="A7" s="139">
        <v>1</v>
      </c>
      <c r="B7" s="143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 t="s">
        <v>37</v>
      </c>
    </row>
    <row r="8" spans="1:13" x14ac:dyDescent="0.25">
      <c r="A8" s="139" t="s">
        <v>0</v>
      </c>
      <c r="B8" s="141" t="s">
        <v>0</v>
      </c>
      <c r="C8" s="139" t="s">
        <v>0</v>
      </c>
      <c r="D8" s="139" t="s">
        <v>0</v>
      </c>
      <c r="E8" s="139" t="s">
        <v>0</v>
      </c>
      <c r="F8" s="139" t="s">
        <v>0</v>
      </c>
      <c r="G8" s="139" t="s">
        <v>0</v>
      </c>
      <c r="H8" s="139"/>
      <c r="I8" s="139"/>
      <c r="J8" s="139"/>
      <c r="K8" s="139"/>
      <c r="L8" s="139"/>
      <c r="M8" s="139" t="s">
        <v>0</v>
      </c>
    </row>
    <row r="9" spans="1:13" x14ac:dyDescent="0.25">
      <c r="A9" s="139" t="s">
        <v>0</v>
      </c>
      <c r="B9" s="141" t="s">
        <v>0</v>
      </c>
      <c r="C9" s="139" t="s">
        <v>0</v>
      </c>
      <c r="D9" s="139" t="s">
        <v>0</v>
      </c>
      <c r="E9" s="139" t="s">
        <v>0</v>
      </c>
      <c r="F9" s="139" t="s">
        <v>0</v>
      </c>
      <c r="G9" s="139" t="s">
        <v>0</v>
      </c>
      <c r="H9" s="139"/>
      <c r="I9" s="139"/>
      <c r="J9" s="139"/>
      <c r="K9" s="139"/>
      <c r="L9" s="139"/>
      <c r="M9" s="139" t="s">
        <v>0</v>
      </c>
    </row>
    <row r="10" spans="1:13" x14ac:dyDescent="0.25">
      <c r="A10" s="139" t="s">
        <v>0</v>
      </c>
      <c r="B10" s="141" t="s">
        <v>0</v>
      </c>
      <c r="C10" s="139" t="s">
        <v>0</v>
      </c>
      <c r="D10" s="139" t="s">
        <v>0</v>
      </c>
      <c r="E10" s="139" t="s">
        <v>0</v>
      </c>
      <c r="F10" s="139" t="s">
        <v>0</v>
      </c>
      <c r="G10" s="139" t="s">
        <v>0</v>
      </c>
      <c r="H10" s="139"/>
      <c r="I10" s="139"/>
      <c r="J10" s="139"/>
      <c r="K10" s="139"/>
      <c r="L10" s="139"/>
      <c r="M10" s="139" t="s">
        <v>0</v>
      </c>
    </row>
    <row r="11" spans="1:13" x14ac:dyDescent="0.25">
      <c r="A11" s="139" t="s">
        <v>0</v>
      </c>
      <c r="B11" s="141" t="s">
        <v>0</v>
      </c>
      <c r="C11" s="139" t="s">
        <v>0</v>
      </c>
      <c r="D11" s="139" t="s">
        <v>0</v>
      </c>
      <c r="E11" s="139" t="s">
        <v>0</v>
      </c>
      <c r="F11" s="139" t="s">
        <v>0</v>
      </c>
      <c r="G11" s="139" t="s">
        <v>0</v>
      </c>
      <c r="H11" s="139"/>
      <c r="I11" s="139"/>
      <c r="J11" s="139"/>
      <c r="K11" s="139"/>
      <c r="L11" s="139"/>
      <c r="M11" s="139" t="s">
        <v>0</v>
      </c>
    </row>
    <row r="12" spans="1:13" x14ac:dyDescent="0.25">
      <c r="A12" s="139" t="s">
        <v>0</v>
      </c>
      <c r="B12" s="141" t="s">
        <v>0</v>
      </c>
      <c r="C12" s="139" t="s">
        <v>0</v>
      </c>
      <c r="D12" s="139" t="s">
        <v>0</v>
      </c>
      <c r="E12" s="139" t="s">
        <v>0</v>
      </c>
      <c r="F12" s="139" t="s">
        <v>0</v>
      </c>
      <c r="G12" s="139" t="s">
        <v>0</v>
      </c>
      <c r="H12" s="139"/>
      <c r="I12" s="139"/>
      <c r="J12" s="139"/>
      <c r="K12" s="139"/>
      <c r="L12" s="139"/>
      <c r="M12" s="139" t="s">
        <v>0</v>
      </c>
    </row>
    <row r="13" spans="1:13" x14ac:dyDescent="0.25">
      <c r="A13" s="139" t="s">
        <v>0</v>
      </c>
      <c r="B13" s="141" t="s">
        <v>0</v>
      </c>
      <c r="C13" s="139" t="s">
        <v>0</v>
      </c>
      <c r="D13" s="139"/>
      <c r="E13" s="139"/>
      <c r="F13" s="139"/>
      <c r="G13" s="139"/>
      <c r="H13" s="139"/>
      <c r="I13" s="139"/>
      <c r="J13" s="139"/>
      <c r="K13" s="139"/>
      <c r="L13" s="139"/>
      <c r="M13" s="139" t="s">
        <v>0</v>
      </c>
    </row>
    <row r="14" spans="1:13" x14ac:dyDescent="0.25">
      <c r="A14" s="330" t="s">
        <v>227</v>
      </c>
      <c r="B14" s="330"/>
      <c r="C14" s="330"/>
      <c r="D14" s="140"/>
      <c r="E14" s="140"/>
      <c r="F14" s="140"/>
      <c r="G14" s="140"/>
      <c r="H14" s="140"/>
      <c r="I14" s="140"/>
      <c r="J14" s="140"/>
      <c r="K14" s="140"/>
      <c r="L14" s="139"/>
      <c r="M14" s="139" t="s">
        <v>0</v>
      </c>
    </row>
    <row r="15" spans="1:13" x14ac:dyDescent="0.25">
      <c r="A15" s="265"/>
      <c r="B15" s="265"/>
      <c r="C15" s="265"/>
      <c r="D15" s="266"/>
      <c r="E15" s="266"/>
      <c r="F15" s="266"/>
      <c r="G15" s="266"/>
      <c r="H15" s="266"/>
      <c r="I15" s="266"/>
      <c r="J15" s="266"/>
      <c r="K15" s="266"/>
      <c r="L15" s="267"/>
      <c r="M15" s="267"/>
    </row>
    <row r="16" spans="1:13" x14ac:dyDescent="0.25">
      <c r="A16" s="265"/>
      <c r="B16" s="265"/>
      <c r="C16" s="265"/>
      <c r="D16" s="266"/>
      <c r="E16" s="266"/>
      <c r="F16" s="266"/>
      <c r="G16" s="266"/>
      <c r="H16" s="266"/>
      <c r="I16" s="266"/>
      <c r="J16" s="266"/>
      <c r="K16" s="266"/>
      <c r="L16" s="267"/>
      <c r="M16" s="267"/>
    </row>
    <row r="18" spans="2:13" x14ac:dyDescent="0.25">
      <c r="B18" s="155" t="s">
        <v>482</v>
      </c>
      <c r="E18" s="341"/>
      <c r="F18" s="341"/>
      <c r="G18" s="341"/>
      <c r="H18" s="341"/>
      <c r="K18" s="341" t="s">
        <v>516</v>
      </c>
      <c r="L18" s="341"/>
      <c r="M18" s="341"/>
    </row>
    <row r="19" spans="2:13" x14ac:dyDescent="0.25">
      <c r="B19" s="154" t="s">
        <v>483</v>
      </c>
      <c r="E19" s="343" t="s">
        <v>484</v>
      </c>
      <c r="F19" s="343"/>
      <c r="G19" s="343"/>
      <c r="H19" s="343"/>
      <c r="K19" s="342" t="s">
        <v>485</v>
      </c>
      <c r="L19" s="342"/>
      <c r="M19" s="342"/>
    </row>
  </sheetData>
  <mergeCells count="19">
    <mergeCell ref="K18:M18"/>
    <mergeCell ref="K19:M19"/>
    <mergeCell ref="E19:H19"/>
    <mergeCell ref="E18:H18"/>
    <mergeCell ref="E3:E5"/>
    <mergeCell ref="F3:F5"/>
    <mergeCell ref="A1:M1"/>
    <mergeCell ref="A2:M2"/>
    <mergeCell ref="M3:M5"/>
    <mergeCell ref="G3:K3"/>
    <mergeCell ref="L3:L5"/>
    <mergeCell ref="G4:G5"/>
    <mergeCell ref="H4:H5"/>
    <mergeCell ref="I4:K4"/>
    <mergeCell ref="A14:C14"/>
    <mergeCell ref="A3:A5"/>
    <mergeCell ref="B3:B5"/>
    <mergeCell ref="C3:C5"/>
    <mergeCell ref="D3:D5"/>
  </mergeCells>
  <pageMargins left="0.7" right="0.7" top="0.75" bottom="0.75" header="0.3" footer="0.3"/>
  <pageSetup paperSize="9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0"/>
  <sheetViews>
    <sheetView topLeftCell="A14" zoomScale="140" zoomScaleNormal="140" workbookViewId="0">
      <selection activeCell="B14" sqref="B14"/>
    </sheetView>
  </sheetViews>
  <sheetFormatPr defaultRowHeight="15.75" x14ac:dyDescent="0.25"/>
  <cols>
    <col min="1" max="1" width="12.7109375" style="13" bestFit="1" customWidth="1"/>
    <col min="2" max="2" width="11.5703125" style="13" customWidth="1"/>
    <col min="3" max="5" width="10.5703125" style="13" bestFit="1" customWidth="1"/>
    <col min="6" max="6" width="11.28515625" style="13" bestFit="1" customWidth="1"/>
    <col min="7" max="9" width="9.42578125" style="13" bestFit="1" customWidth="1"/>
    <col min="10" max="10" width="9.28515625" style="13" hidden="1" customWidth="1"/>
    <col min="11" max="11" width="8.5703125" style="13" bestFit="1" customWidth="1"/>
    <col min="12" max="13" width="9.42578125" style="13" bestFit="1" customWidth="1"/>
    <col min="14" max="14" width="9.28515625" bestFit="1" customWidth="1"/>
  </cols>
  <sheetData>
    <row r="1" spans="1:14" x14ac:dyDescent="0.25">
      <c r="A1" s="13" t="s">
        <v>123</v>
      </c>
      <c r="B1" s="13">
        <v>108.3</v>
      </c>
    </row>
    <row r="2" spans="1:14" x14ac:dyDescent="0.25">
      <c r="A2" s="13" t="s">
        <v>124</v>
      </c>
      <c r="B2" s="13">
        <v>108.3</v>
      </c>
    </row>
    <row r="4" spans="1:14" x14ac:dyDescent="0.25">
      <c r="A4" s="13" t="s">
        <v>373</v>
      </c>
      <c r="B4" s="16" t="s">
        <v>128</v>
      </c>
      <c r="C4" s="16" t="s">
        <v>129</v>
      </c>
      <c r="D4" s="16" t="s">
        <v>130</v>
      </c>
      <c r="E4" s="16" t="s">
        <v>131</v>
      </c>
      <c r="F4" s="16" t="s">
        <v>460</v>
      </c>
    </row>
    <row r="5" spans="1:14" x14ac:dyDescent="0.25">
      <c r="A5" s="13" t="s">
        <v>132</v>
      </c>
      <c r="B5" s="13">
        <v>90</v>
      </c>
      <c r="C5" s="13">
        <v>8</v>
      </c>
      <c r="D5" s="13">
        <v>0</v>
      </c>
      <c r="E5" s="13">
        <v>86</v>
      </c>
      <c r="F5" s="25">
        <f>SUM(B5:E5)</f>
        <v>184</v>
      </c>
    </row>
    <row r="6" spans="1:14" ht="13.5" hidden="1" customHeight="1" x14ac:dyDescent="0.25">
      <c r="A6" s="13" t="s">
        <v>134</v>
      </c>
      <c r="B6" s="21">
        <v>0</v>
      </c>
      <c r="C6" s="21">
        <v>0</v>
      </c>
      <c r="D6" s="21">
        <v>0</v>
      </c>
      <c r="E6" s="21">
        <v>0</v>
      </c>
      <c r="F6" s="189">
        <f>SUM(B6:E6)</f>
        <v>0</v>
      </c>
    </row>
    <row r="7" spans="1:14" s="176" customFormat="1" x14ac:dyDescent="0.25">
      <c r="A7" s="187" t="s">
        <v>135</v>
      </c>
      <c r="B7" s="187">
        <f>B8+B9</f>
        <v>1.8</v>
      </c>
      <c r="C7" s="187">
        <f t="shared" ref="C7:E7" si="0">C8+C9</f>
        <v>0.03</v>
      </c>
      <c r="D7" s="187">
        <f t="shared" si="0"/>
        <v>0.02</v>
      </c>
      <c r="E7" s="187">
        <f t="shared" si="0"/>
        <v>1.7000000000000002</v>
      </c>
      <c r="F7" s="25">
        <f>F8+F9</f>
        <v>6.4629999999999992</v>
      </c>
      <c r="G7" s="174"/>
      <c r="H7" s="175"/>
      <c r="I7" s="175"/>
      <c r="J7" s="175"/>
      <c r="K7" s="175"/>
      <c r="L7" s="175"/>
      <c r="M7" s="175"/>
    </row>
    <row r="8" spans="1:14" s="176" customFormat="1" x14ac:dyDescent="0.25">
      <c r="A8" s="187" t="s">
        <v>136</v>
      </c>
      <c r="B8" s="188">
        <v>1.1000000000000001</v>
      </c>
      <c r="C8" s="188">
        <v>0</v>
      </c>
      <c r="D8" s="188">
        <f t="shared" ref="D8" si="1">$F$8/$F$5*D5</f>
        <v>0</v>
      </c>
      <c r="E8" s="188">
        <v>1.1000000000000001</v>
      </c>
      <c r="F8" s="25">
        <v>4.5389999999999997</v>
      </c>
      <c r="G8" s="174"/>
      <c r="H8" s="175"/>
      <c r="I8" s="175"/>
      <c r="J8" s="175"/>
      <c r="K8" s="175"/>
      <c r="L8" s="175"/>
      <c r="M8" s="175"/>
      <c r="N8" s="176">
        <f>B8*B10</f>
        <v>6785.3170000000009</v>
      </c>
    </row>
    <row r="9" spans="1:14" s="176" customFormat="1" x14ac:dyDescent="0.25">
      <c r="A9" s="187" t="s">
        <v>138</v>
      </c>
      <c r="B9" s="188">
        <v>0.7</v>
      </c>
      <c r="C9" s="188">
        <v>0.03</v>
      </c>
      <c r="D9" s="188">
        <v>0.02</v>
      </c>
      <c r="E9" s="188">
        <v>0.6</v>
      </c>
      <c r="F9" s="25">
        <v>1.9239999999999999</v>
      </c>
      <c r="G9" s="174"/>
      <c r="H9" s="174"/>
      <c r="I9" s="174"/>
      <c r="J9" s="174"/>
      <c r="K9" s="174"/>
      <c r="L9" s="174"/>
      <c r="M9" s="174"/>
    </row>
    <row r="10" spans="1:14" s="176" customFormat="1" x14ac:dyDescent="0.25">
      <c r="A10" s="174" t="s">
        <v>140</v>
      </c>
      <c r="B10" s="177">
        <f>4168.47+H10</f>
        <v>6168.47</v>
      </c>
      <c r="C10" s="177">
        <f>B10</f>
        <v>6168.47</v>
      </c>
      <c r="D10" s="177">
        <f>B10</f>
        <v>6168.47</v>
      </c>
      <c r="E10" s="177">
        <f>B10</f>
        <v>6168.47</v>
      </c>
      <c r="F10" s="175"/>
      <c r="G10" s="174"/>
      <c r="H10" s="174">
        <v>2000</v>
      </c>
      <c r="I10" s="174"/>
      <c r="J10" s="174"/>
      <c r="K10" s="174"/>
      <c r="L10" s="174"/>
      <c r="M10" s="174"/>
    </row>
    <row r="11" spans="1:14" ht="31.5" x14ac:dyDescent="0.25">
      <c r="A11" s="13" t="s">
        <v>142</v>
      </c>
      <c r="B11" s="153">
        <f>2987.88+$H$11</f>
        <v>3987.88</v>
      </c>
      <c r="C11" s="153">
        <f t="shared" ref="C11:E11" si="2">2987.88+$H$11</f>
        <v>3987.88</v>
      </c>
      <c r="D11" s="153">
        <f t="shared" si="2"/>
        <v>3987.88</v>
      </c>
      <c r="E11" s="153">
        <f t="shared" si="2"/>
        <v>3987.88</v>
      </c>
      <c r="H11" s="13">
        <v>1000</v>
      </c>
    </row>
    <row r="12" spans="1:14" ht="31.5" hidden="1" x14ac:dyDescent="0.25">
      <c r="A12" s="13" t="s">
        <v>143</v>
      </c>
      <c r="B12" s="13">
        <v>0.45</v>
      </c>
      <c r="C12" s="13">
        <v>0.45</v>
      </c>
      <c r="D12" s="13">
        <v>0.45</v>
      </c>
      <c r="E12" s="13">
        <v>0.45</v>
      </c>
    </row>
    <row r="13" spans="1:14" ht="31.5" hidden="1" x14ac:dyDescent="0.25">
      <c r="A13" s="13" t="s">
        <v>145</v>
      </c>
      <c r="B13" s="13">
        <v>0.24</v>
      </c>
      <c r="C13" s="13">
        <v>0.24</v>
      </c>
      <c r="D13" s="13">
        <v>0.24</v>
      </c>
      <c r="E13" s="13">
        <v>0.24</v>
      </c>
    </row>
    <row r="14" spans="1:14" s="176" customFormat="1" x14ac:dyDescent="0.25">
      <c r="A14" s="174" t="s">
        <v>147</v>
      </c>
      <c r="B14" s="188">
        <f>$F$14*B5/$F$5</f>
        <v>495.55271739130433</v>
      </c>
      <c r="C14" s="188">
        <f t="shared" ref="C14:E14" si="3">$F$14*C5/$F$5</f>
        <v>44.049130434782612</v>
      </c>
      <c r="D14" s="188">
        <f t="shared" si="3"/>
        <v>0</v>
      </c>
      <c r="E14" s="188">
        <f t="shared" si="3"/>
        <v>473.52815217391299</v>
      </c>
      <c r="F14" s="25">
        <v>1013.13</v>
      </c>
      <c r="G14" s="174"/>
      <c r="H14" s="174"/>
      <c r="I14" s="174"/>
      <c r="J14" s="174"/>
      <c r="K14" s="174"/>
      <c r="L14" s="174"/>
      <c r="M14" s="174"/>
    </row>
    <row r="15" spans="1:14" s="176" customFormat="1" ht="16.5" thickBot="1" x14ac:dyDescent="0.3">
      <c r="A15" s="174" t="s">
        <v>149</v>
      </c>
      <c r="B15" s="188">
        <f>$F$15*B5/$F$5</f>
        <v>70.434782608695656</v>
      </c>
      <c r="C15" s="188">
        <f t="shared" ref="C15:E15" si="4">$F$15*C5/$F$5</f>
        <v>6.2608695652173916</v>
      </c>
      <c r="D15" s="188">
        <f t="shared" si="4"/>
        <v>0</v>
      </c>
      <c r="E15" s="188">
        <f t="shared" si="4"/>
        <v>67.304347826086953</v>
      </c>
      <c r="F15" s="190">
        <v>144</v>
      </c>
      <c r="G15" s="344" t="s">
        <v>154</v>
      </c>
      <c r="H15" s="345"/>
      <c r="I15" s="345"/>
      <c r="J15" s="345"/>
      <c r="K15" s="345"/>
      <c r="L15" s="345"/>
      <c r="M15" s="346"/>
    </row>
    <row r="16" spans="1:14" s="176" customFormat="1" ht="16.5" hidden="1" thickBot="1" x14ac:dyDescent="0.3">
      <c r="A16" s="174" t="s">
        <v>151</v>
      </c>
      <c r="B16" s="174">
        <f>B14+B15</f>
        <v>565.98749999999995</v>
      </c>
      <c r="C16" s="174">
        <f t="shared" ref="C16:E16" si="5">C14+C15</f>
        <v>50.31</v>
      </c>
      <c r="D16" s="174">
        <f t="shared" si="5"/>
        <v>0</v>
      </c>
      <c r="E16" s="174">
        <f t="shared" si="5"/>
        <v>540.83249999999998</v>
      </c>
      <c r="F16" s="174"/>
      <c r="G16" s="174"/>
      <c r="H16" s="174"/>
      <c r="I16" s="174"/>
      <c r="J16" s="174"/>
      <c r="K16" s="174"/>
      <c r="L16" s="174"/>
      <c r="M16" s="174"/>
    </row>
    <row r="17" spans="1:13" s="176" customFormat="1" ht="16.5" hidden="1" thickBot="1" x14ac:dyDescent="0.3">
      <c r="A17" s="174" t="s">
        <v>153</v>
      </c>
      <c r="B17" s="174">
        <v>143.52000000000001</v>
      </c>
      <c r="C17" s="174">
        <v>143.52000000000001</v>
      </c>
      <c r="D17" s="174">
        <v>143.52000000000001</v>
      </c>
      <c r="E17" s="174">
        <v>143.52000000000001</v>
      </c>
      <c r="F17" s="347" t="s">
        <v>154</v>
      </c>
      <c r="G17" s="348"/>
      <c r="H17" s="348"/>
      <c r="I17" s="348"/>
      <c r="J17" s="348"/>
      <c r="K17" s="348"/>
      <c r="L17" s="349"/>
    </row>
    <row r="18" spans="1:13" s="176" customFormat="1" ht="17.25" thickTop="1" thickBot="1" x14ac:dyDescent="0.3">
      <c r="A18" s="174" t="s">
        <v>156</v>
      </c>
      <c r="B18" s="188">
        <f>$F$18*B5/$F$5</f>
        <v>318.0161543478261</v>
      </c>
      <c r="C18" s="188">
        <f t="shared" ref="C18:E18" si="6">$F$18*C5/$F$5</f>
        <v>28.268102608695653</v>
      </c>
      <c r="D18" s="188">
        <f t="shared" si="6"/>
        <v>0</v>
      </c>
      <c r="E18" s="188">
        <f t="shared" si="6"/>
        <v>303.88210304347825</v>
      </c>
      <c r="F18" s="190">
        <v>650.16636000000005</v>
      </c>
      <c r="G18" s="178" t="s">
        <v>158</v>
      </c>
      <c r="H18" s="178" t="s">
        <v>159</v>
      </c>
      <c r="I18" s="178" t="s">
        <v>160</v>
      </c>
      <c r="J18" s="178" t="s">
        <v>161</v>
      </c>
      <c r="K18" s="179" t="s">
        <v>380</v>
      </c>
      <c r="L18" s="179" t="s">
        <v>375</v>
      </c>
      <c r="M18" s="179" t="s">
        <v>376</v>
      </c>
    </row>
    <row r="19" spans="1:13" s="176" customFormat="1" ht="17.25" thickTop="1" thickBot="1" x14ac:dyDescent="0.3">
      <c r="A19" s="174" t="s">
        <v>481</v>
      </c>
      <c r="B19" s="188">
        <f>151909*B5/$F$5</f>
        <v>74303.315217391311</v>
      </c>
      <c r="C19" s="188">
        <f t="shared" ref="C19:E19" si="7">151909*C5/$F$5</f>
        <v>6604.739130434783</v>
      </c>
      <c r="D19" s="188">
        <f t="shared" si="7"/>
        <v>0</v>
      </c>
      <c r="E19" s="188">
        <f t="shared" si="7"/>
        <v>71000.945652173919</v>
      </c>
      <c r="F19" s="191">
        <f>13794.91</f>
        <v>13794.91</v>
      </c>
      <c r="G19" s="191">
        <v>1950</v>
      </c>
      <c r="H19" s="191">
        <v>4950</v>
      </c>
      <c r="I19" s="191">
        <v>8.9060000000000006</v>
      </c>
      <c r="J19" s="179"/>
      <c r="K19" s="191">
        <v>42.39</v>
      </c>
      <c r="L19" s="191">
        <v>41.47</v>
      </c>
      <c r="M19" s="191">
        <v>400</v>
      </c>
    </row>
    <row r="20" spans="1:13" ht="17.25" thickTop="1" thickBot="1" x14ac:dyDescent="0.3">
      <c r="A20" s="350" t="s">
        <v>374</v>
      </c>
      <c r="B20" s="351"/>
      <c r="C20" s="351"/>
      <c r="D20" s="351"/>
      <c r="E20" s="352"/>
      <c r="F20" s="178" t="s">
        <v>157</v>
      </c>
      <c r="G20" s="152"/>
      <c r="H20" s="152"/>
      <c r="I20" s="152"/>
      <c r="J20" s="152"/>
      <c r="K20" s="152"/>
      <c r="L20" s="152"/>
      <c r="M20" s="152"/>
    </row>
    <row r="21" spans="1:13" ht="16.5" thickTop="1" x14ac:dyDescent="0.25">
      <c r="A21" s="13" t="s">
        <v>377</v>
      </c>
      <c r="B21" s="13">
        <v>5400</v>
      </c>
      <c r="C21" s="13">
        <v>900</v>
      </c>
      <c r="D21" s="13">
        <v>0</v>
      </c>
      <c r="E21" s="13">
        <v>4500</v>
      </c>
    </row>
    <row r="22" spans="1:13" x14ac:dyDescent="0.25">
      <c r="A22" s="13" t="s">
        <v>378</v>
      </c>
      <c r="B22" s="13">
        <v>12000</v>
      </c>
      <c r="C22" s="13">
        <v>2000</v>
      </c>
      <c r="D22" s="13">
        <v>0</v>
      </c>
      <c r="E22" s="13">
        <v>1000</v>
      </c>
    </row>
    <row r="24" spans="1:13" ht="33.75" customHeight="1" x14ac:dyDescent="0.25">
      <c r="A24" s="350" t="s">
        <v>379</v>
      </c>
      <c r="B24" s="351"/>
      <c r="C24" s="351"/>
      <c r="D24" s="351"/>
      <c r="E24" s="352"/>
    </row>
    <row r="25" spans="1:13" x14ac:dyDescent="0.25">
      <c r="A25" s="13" t="s">
        <v>377</v>
      </c>
      <c r="B25" s="192">
        <v>600</v>
      </c>
      <c r="C25" s="192">
        <v>600</v>
      </c>
      <c r="D25" s="192">
        <v>600</v>
      </c>
      <c r="E25" s="192">
        <v>600</v>
      </c>
    </row>
    <row r="26" spans="1:13" x14ac:dyDescent="0.25">
      <c r="A26" s="13" t="s">
        <v>378</v>
      </c>
      <c r="B26" s="192">
        <v>900</v>
      </c>
      <c r="C26" s="192">
        <v>900</v>
      </c>
      <c r="D26" s="192">
        <v>900</v>
      </c>
      <c r="E26" s="192">
        <v>900</v>
      </c>
    </row>
    <row r="53" spans="1:13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</row>
    <row r="65" spans="1:13" x14ac:dyDescent="0.2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</row>
    <row r="71" spans="1:13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</row>
    <row r="76" spans="1:13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</row>
    <row r="272" spans="1:1" x14ac:dyDescent="0.25">
      <c r="A272" s="16"/>
    </row>
    <row r="298" spans="1:13" x14ac:dyDescent="0.25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</row>
    <row r="304" spans="1:13" x14ac:dyDescent="0.25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</row>
    <row r="310" spans="1:13" x14ac:dyDescent="0.25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</row>
    <row r="330" spans="1:3" x14ac:dyDescent="0.25">
      <c r="A330" s="270" t="s">
        <v>359</v>
      </c>
      <c r="B330" s="270"/>
      <c r="C330" s="270"/>
    </row>
    <row r="331" spans="1:3" ht="126" x14ac:dyDescent="0.25">
      <c r="A331" s="19" t="s">
        <v>362</v>
      </c>
      <c r="B331" s="19" t="s">
        <v>363</v>
      </c>
      <c r="C331" s="19" t="s">
        <v>364</v>
      </c>
    </row>
    <row r="332" spans="1:3" x14ac:dyDescent="0.25">
      <c r="A332" s="12">
        <v>13</v>
      </c>
      <c r="B332" s="12">
        <v>14</v>
      </c>
      <c r="C332" s="12">
        <v>15</v>
      </c>
    </row>
    <row r="333" spans="1:3" x14ac:dyDescent="0.25">
      <c r="A333" s="12" t="e">
        <f>#REF!-A334</f>
        <v>#REF!</v>
      </c>
      <c r="B333" s="12">
        <v>2.7</v>
      </c>
      <c r="C333" s="12" t="e">
        <f>A333/B333</f>
        <v>#REF!</v>
      </c>
    </row>
    <row r="334" spans="1:3" x14ac:dyDescent="0.25">
      <c r="A334" s="12">
        <v>164.3</v>
      </c>
      <c r="B334" s="12">
        <v>12</v>
      </c>
      <c r="C334" s="12">
        <f>A334/B334</f>
        <v>13.691666666666668</v>
      </c>
    </row>
    <row r="335" spans="1:3" x14ac:dyDescent="0.25">
      <c r="A335" s="12" t="e">
        <f t="shared" ref="A335" si="8">SUM(A333:A334)</f>
        <v>#REF!</v>
      </c>
      <c r="B335" s="12"/>
      <c r="C335" s="12"/>
    </row>
    <row r="336" spans="1:3" x14ac:dyDescent="0.25">
      <c r="A336" s="16" t="s">
        <v>0</v>
      </c>
      <c r="B336" s="16" t="s">
        <v>0</v>
      </c>
      <c r="C336" s="16" t="s">
        <v>0</v>
      </c>
    </row>
    <row r="337" spans="1:13" x14ac:dyDescent="0.25">
      <c r="A337" s="16" t="s">
        <v>0</v>
      </c>
      <c r="B337" s="16" t="s">
        <v>0</v>
      </c>
      <c r="C337" s="16" t="s">
        <v>0</v>
      </c>
    </row>
    <row r="338" spans="1:13" x14ac:dyDescent="0.25">
      <c r="A338" s="18" t="s">
        <v>37</v>
      </c>
      <c r="B338" s="16" t="s">
        <v>0</v>
      </c>
      <c r="C338" s="16" t="s">
        <v>0</v>
      </c>
    </row>
    <row r="350" spans="1:13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</row>
    <row r="351" spans="1:13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</row>
    <row r="352" spans="1:13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</row>
    <row r="353" spans="1:13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</row>
    <row r="354" spans="1:13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</row>
    <row r="355" spans="1:13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</row>
    <row r="356" spans="1:13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</row>
    <row r="357" spans="1:13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</row>
    <row r="358" spans="1:13" x14ac:dyDescent="0.2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</row>
    <row r="359" spans="1:13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</row>
    <row r="369" spans="1:1" x14ac:dyDescent="0.25">
      <c r="A369" s="22"/>
    </row>
    <row r="370" spans="1:1" x14ac:dyDescent="0.25">
      <c r="A370" s="22"/>
    </row>
    <row r="371" spans="1:1" x14ac:dyDescent="0.25">
      <c r="A371" s="23"/>
    </row>
    <row r="372" spans="1:1" x14ac:dyDescent="0.25">
      <c r="A372" s="16"/>
    </row>
    <row r="373" spans="1:1" x14ac:dyDescent="0.25">
      <c r="A373" s="16"/>
    </row>
    <row r="374" spans="1:1" x14ac:dyDescent="0.25">
      <c r="A374" s="16"/>
    </row>
    <row r="375" spans="1:1" x14ac:dyDescent="0.25">
      <c r="A375" s="16"/>
    </row>
    <row r="376" spans="1:1" x14ac:dyDescent="0.25">
      <c r="A376" s="16"/>
    </row>
    <row r="377" spans="1:1" x14ac:dyDescent="0.25">
      <c r="A377" s="16"/>
    </row>
    <row r="378" spans="1:1" x14ac:dyDescent="0.25">
      <c r="A378" s="16"/>
    </row>
    <row r="379" spans="1:1" x14ac:dyDescent="0.25">
      <c r="A379" s="16"/>
    </row>
    <row r="380" spans="1:1" x14ac:dyDescent="0.25">
      <c r="A380" s="16"/>
    </row>
  </sheetData>
  <mergeCells count="5">
    <mergeCell ref="G15:M15"/>
    <mergeCell ref="A330:C330"/>
    <mergeCell ref="F17:L17"/>
    <mergeCell ref="A20:E20"/>
    <mergeCell ref="A24:E24"/>
  </mergeCells>
  <pageMargins left="0.7" right="0.7" top="0.75" bottom="0.75" header="0.3" footer="0.3"/>
  <pageSetup paperSize="9" scale="72" orientation="portrait" verticalDpi="0" r:id="rId1"/>
  <rowBreaks count="1" manualBreakCount="1">
    <brk id="42" max="16383" man="1"/>
  </rowBreaks>
  <colBreaks count="1" manualBreakCount="1">
    <brk id="13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opLeftCell="A10" zoomScaleNormal="100" workbookViewId="0">
      <selection activeCell="C13" sqref="C13"/>
    </sheetView>
  </sheetViews>
  <sheetFormatPr defaultColWidth="8.85546875" defaultRowHeight="15" x14ac:dyDescent="0.25"/>
  <cols>
    <col min="1" max="1" width="8.42578125" style="71" customWidth="1"/>
    <col min="2" max="2" width="32.5703125" style="71" customWidth="1"/>
    <col min="3" max="3" width="16.140625" style="71" bestFit="1" customWidth="1"/>
    <col min="4" max="4" width="17" style="71" customWidth="1"/>
    <col min="5" max="5" width="14" style="71" customWidth="1"/>
    <col min="6" max="6" width="14.28515625" style="71" bestFit="1" customWidth="1"/>
    <col min="7" max="8" width="27.140625" style="113" customWidth="1"/>
    <col min="9" max="9" width="13.7109375" style="71" customWidth="1"/>
    <col min="10" max="10" width="16.28515625" style="71" customWidth="1"/>
    <col min="11" max="13" width="14.28515625" style="117" bestFit="1" customWidth="1"/>
    <col min="14" max="14" width="14.28515625" style="117" customWidth="1"/>
    <col min="15" max="15" width="12.7109375" style="117" bestFit="1" customWidth="1"/>
    <col min="16" max="257" width="8.85546875" style="71"/>
    <col min="258" max="258" width="8.42578125" style="71" customWidth="1"/>
    <col min="259" max="259" width="32.5703125" style="71" customWidth="1"/>
    <col min="260" max="260" width="16.140625" style="71" bestFit="1" customWidth="1"/>
    <col min="261" max="261" width="17" style="71" customWidth="1"/>
    <col min="262" max="262" width="14" style="71" customWidth="1"/>
    <col min="263" max="263" width="14.28515625" style="71" bestFit="1" customWidth="1"/>
    <col min="264" max="265" width="27.140625" style="71" customWidth="1"/>
    <col min="266" max="266" width="13.7109375" style="71" customWidth="1"/>
    <col min="267" max="267" width="16.28515625" style="71" customWidth="1"/>
    <col min="268" max="270" width="14.28515625" style="71" bestFit="1" customWidth="1"/>
    <col min="271" max="271" width="12.7109375" style="71" bestFit="1" customWidth="1"/>
    <col min="272" max="513" width="8.85546875" style="71"/>
    <col min="514" max="514" width="8.42578125" style="71" customWidth="1"/>
    <col min="515" max="515" width="32.5703125" style="71" customWidth="1"/>
    <col min="516" max="516" width="16.140625" style="71" bestFit="1" customWidth="1"/>
    <col min="517" max="517" width="17" style="71" customWidth="1"/>
    <col min="518" max="518" width="14" style="71" customWidth="1"/>
    <col min="519" max="519" width="14.28515625" style="71" bestFit="1" customWidth="1"/>
    <col min="520" max="521" width="27.140625" style="71" customWidth="1"/>
    <col min="522" max="522" width="13.7109375" style="71" customWidth="1"/>
    <col min="523" max="523" width="16.28515625" style="71" customWidth="1"/>
    <col min="524" max="526" width="14.28515625" style="71" bestFit="1" customWidth="1"/>
    <col min="527" max="527" width="12.7109375" style="71" bestFit="1" customWidth="1"/>
    <col min="528" max="769" width="8.85546875" style="71"/>
    <col min="770" max="770" width="8.42578125" style="71" customWidth="1"/>
    <col min="771" max="771" width="32.5703125" style="71" customWidth="1"/>
    <col min="772" max="772" width="16.140625" style="71" bestFit="1" customWidth="1"/>
    <col min="773" max="773" width="17" style="71" customWidth="1"/>
    <col min="774" max="774" width="14" style="71" customWidth="1"/>
    <col min="775" max="775" width="14.28515625" style="71" bestFit="1" customWidth="1"/>
    <col min="776" max="777" width="27.140625" style="71" customWidth="1"/>
    <col min="778" max="778" width="13.7109375" style="71" customWidth="1"/>
    <col min="779" max="779" width="16.28515625" style="71" customWidth="1"/>
    <col min="780" max="782" width="14.28515625" style="71" bestFit="1" customWidth="1"/>
    <col min="783" max="783" width="12.7109375" style="71" bestFit="1" customWidth="1"/>
    <col min="784" max="1025" width="8.85546875" style="71"/>
    <col min="1026" max="1026" width="8.42578125" style="71" customWidth="1"/>
    <col min="1027" max="1027" width="32.5703125" style="71" customWidth="1"/>
    <col min="1028" max="1028" width="16.140625" style="71" bestFit="1" customWidth="1"/>
    <col min="1029" max="1029" width="17" style="71" customWidth="1"/>
    <col min="1030" max="1030" width="14" style="71" customWidth="1"/>
    <col min="1031" max="1031" width="14.28515625" style="71" bestFit="1" customWidth="1"/>
    <col min="1032" max="1033" width="27.140625" style="71" customWidth="1"/>
    <col min="1034" max="1034" width="13.7109375" style="71" customWidth="1"/>
    <col min="1035" max="1035" width="16.28515625" style="71" customWidth="1"/>
    <col min="1036" max="1038" width="14.28515625" style="71" bestFit="1" customWidth="1"/>
    <col min="1039" max="1039" width="12.7109375" style="71" bestFit="1" customWidth="1"/>
    <col min="1040" max="1281" width="8.85546875" style="71"/>
    <col min="1282" max="1282" width="8.42578125" style="71" customWidth="1"/>
    <col min="1283" max="1283" width="32.5703125" style="71" customWidth="1"/>
    <col min="1284" max="1284" width="16.140625" style="71" bestFit="1" customWidth="1"/>
    <col min="1285" max="1285" width="17" style="71" customWidth="1"/>
    <col min="1286" max="1286" width="14" style="71" customWidth="1"/>
    <col min="1287" max="1287" width="14.28515625" style="71" bestFit="1" customWidth="1"/>
    <col min="1288" max="1289" width="27.140625" style="71" customWidth="1"/>
    <col min="1290" max="1290" width="13.7109375" style="71" customWidth="1"/>
    <col min="1291" max="1291" width="16.28515625" style="71" customWidth="1"/>
    <col min="1292" max="1294" width="14.28515625" style="71" bestFit="1" customWidth="1"/>
    <col min="1295" max="1295" width="12.7109375" style="71" bestFit="1" customWidth="1"/>
    <col min="1296" max="1537" width="8.85546875" style="71"/>
    <col min="1538" max="1538" width="8.42578125" style="71" customWidth="1"/>
    <col min="1539" max="1539" width="32.5703125" style="71" customWidth="1"/>
    <col min="1540" max="1540" width="16.140625" style="71" bestFit="1" customWidth="1"/>
    <col min="1541" max="1541" width="17" style="71" customWidth="1"/>
    <col min="1542" max="1542" width="14" style="71" customWidth="1"/>
    <col min="1543" max="1543" width="14.28515625" style="71" bestFit="1" customWidth="1"/>
    <col min="1544" max="1545" width="27.140625" style="71" customWidth="1"/>
    <col min="1546" max="1546" width="13.7109375" style="71" customWidth="1"/>
    <col min="1547" max="1547" width="16.28515625" style="71" customWidth="1"/>
    <col min="1548" max="1550" width="14.28515625" style="71" bestFit="1" customWidth="1"/>
    <col min="1551" max="1551" width="12.7109375" style="71" bestFit="1" customWidth="1"/>
    <col min="1552" max="1793" width="8.85546875" style="71"/>
    <col min="1794" max="1794" width="8.42578125" style="71" customWidth="1"/>
    <col min="1795" max="1795" width="32.5703125" style="71" customWidth="1"/>
    <col min="1796" max="1796" width="16.140625" style="71" bestFit="1" customWidth="1"/>
    <col min="1797" max="1797" width="17" style="71" customWidth="1"/>
    <col min="1798" max="1798" width="14" style="71" customWidth="1"/>
    <col min="1799" max="1799" width="14.28515625" style="71" bestFit="1" customWidth="1"/>
    <col min="1800" max="1801" width="27.140625" style="71" customWidth="1"/>
    <col min="1802" max="1802" width="13.7109375" style="71" customWidth="1"/>
    <col min="1803" max="1803" width="16.28515625" style="71" customWidth="1"/>
    <col min="1804" max="1806" width="14.28515625" style="71" bestFit="1" customWidth="1"/>
    <col min="1807" max="1807" width="12.7109375" style="71" bestFit="1" customWidth="1"/>
    <col min="1808" max="2049" width="8.85546875" style="71"/>
    <col min="2050" max="2050" width="8.42578125" style="71" customWidth="1"/>
    <col min="2051" max="2051" width="32.5703125" style="71" customWidth="1"/>
    <col min="2052" max="2052" width="16.140625" style="71" bestFit="1" customWidth="1"/>
    <col min="2053" max="2053" width="17" style="71" customWidth="1"/>
    <col min="2054" max="2054" width="14" style="71" customWidth="1"/>
    <col min="2055" max="2055" width="14.28515625" style="71" bestFit="1" customWidth="1"/>
    <col min="2056" max="2057" width="27.140625" style="71" customWidth="1"/>
    <col min="2058" max="2058" width="13.7109375" style="71" customWidth="1"/>
    <col min="2059" max="2059" width="16.28515625" style="71" customWidth="1"/>
    <col min="2060" max="2062" width="14.28515625" style="71" bestFit="1" customWidth="1"/>
    <col min="2063" max="2063" width="12.7109375" style="71" bestFit="1" customWidth="1"/>
    <col min="2064" max="2305" width="8.85546875" style="71"/>
    <col min="2306" max="2306" width="8.42578125" style="71" customWidth="1"/>
    <col min="2307" max="2307" width="32.5703125" style="71" customWidth="1"/>
    <col min="2308" max="2308" width="16.140625" style="71" bestFit="1" customWidth="1"/>
    <col min="2309" max="2309" width="17" style="71" customWidth="1"/>
    <col min="2310" max="2310" width="14" style="71" customWidth="1"/>
    <col min="2311" max="2311" width="14.28515625" style="71" bestFit="1" customWidth="1"/>
    <col min="2312" max="2313" width="27.140625" style="71" customWidth="1"/>
    <col min="2314" max="2314" width="13.7109375" style="71" customWidth="1"/>
    <col min="2315" max="2315" width="16.28515625" style="71" customWidth="1"/>
    <col min="2316" max="2318" width="14.28515625" style="71" bestFit="1" customWidth="1"/>
    <col min="2319" max="2319" width="12.7109375" style="71" bestFit="1" customWidth="1"/>
    <col min="2320" max="2561" width="8.85546875" style="71"/>
    <col min="2562" max="2562" width="8.42578125" style="71" customWidth="1"/>
    <col min="2563" max="2563" width="32.5703125" style="71" customWidth="1"/>
    <col min="2564" max="2564" width="16.140625" style="71" bestFit="1" customWidth="1"/>
    <col min="2565" max="2565" width="17" style="71" customWidth="1"/>
    <col min="2566" max="2566" width="14" style="71" customWidth="1"/>
    <col min="2567" max="2567" width="14.28515625" style="71" bestFit="1" customWidth="1"/>
    <col min="2568" max="2569" width="27.140625" style="71" customWidth="1"/>
    <col min="2570" max="2570" width="13.7109375" style="71" customWidth="1"/>
    <col min="2571" max="2571" width="16.28515625" style="71" customWidth="1"/>
    <col min="2572" max="2574" width="14.28515625" style="71" bestFit="1" customWidth="1"/>
    <col min="2575" max="2575" width="12.7109375" style="71" bestFit="1" customWidth="1"/>
    <col min="2576" max="2817" width="8.85546875" style="71"/>
    <col min="2818" max="2818" width="8.42578125" style="71" customWidth="1"/>
    <col min="2819" max="2819" width="32.5703125" style="71" customWidth="1"/>
    <col min="2820" max="2820" width="16.140625" style="71" bestFit="1" customWidth="1"/>
    <col min="2821" max="2821" width="17" style="71" customWidth="1"/>
    <col min="2822" max="2822" width="14" style="71" customWidth="1"/>
    <col min="2823" max="2823" width="14.28515625" style="71" bestFit="1" customWidth="1"/>
    <col min="2824" max="2825" width="27.140625" style="71" customWidth="1"/>
    <col min="2826" max="2826" width="13.7109375" style="71" customWidth="1"/>
    <col min="2827" max="2827" width="16.28515625" style="71" customWidth="1"/>
    <col min="2828" max="2830" width="14.28515625" style="71" bestFit="1" customWidth="1"/>
    <col min="2831" max="2831" width="12.7109375" style="71" bestFit="1" customWidth="1"/>
    <col min="2832" max="3073" width="8.85546875" style="71"/>
    <col min="3074" max="3074" width="8.42578125" style="71" customWidth="1"/>
    <col min="3075" max="3075" width="32.5703125" style="71" customWidth="1"/>
    <col min="3076" max="3076" width="16.140625" style="71" bestFit="1" customWidth="1"/>
    <col min="3077" max="3077" width="17" style="71" customWidth="1"/>
    <col min="3078" max="3078" width="14" style="71" customWidth="1"/>
    <col min="3079" max="3079" width="14.28515625" style="71" bestFit="1" customWidth="1"/>
    <col min="3080" max="3081" width="27.140625" style="71" customWidth="1"/>
    <col min="3082" max="3082" width="13.7109375" style="71" customWidth="1"/>
    <col min="3083" max="3083" width="16.28515625" style="71" customWidth="1"/>
    <col min="3084" max="3086" width="14.28515625" style="71" bestFit="1" customWidth="1"/>
    <col min="3087" max="3087" width="12.7109375" style="71" bestFit="1" customWidth="1"/>
    <col min="3088" max="3329" width="8.85546875" style="71"/>
    <col min="3330" max="3330" width="8.42578125" style="71" customWidth="1"/>
    <col min="3331" max="3331" width="32.5703125" style="71" customWidth="1"/>
    <col min="3332" max="3332" width="16.140625" style="71" bestFit="1" customWidth="1"/>
    <col min="3333" max="3333" width="17" style="71" customWidth="1"/>
    <col min="3334" max="3334" width="14" style="71" customWidth="1"/>
    <col min="3335" max="3335" width="14.28515625" style="71" bestFit="1" customWidth="1"/>
    <col min="3336" max="3337" width="27.140625" style="71" customWidth="1"/>
    <col min="3338" max="3338" width="13.7109375" style="71" customWidth="1"/>
    <col min="3339" max="3339" width="16.28515625" style="71" customWidth="1"/>
    <col min="3340" max="3342" width="14.28515625" style="71" bestFit="1" customWidth="1"/>
    <col min="3343" max="3343" width="12.7109375" style="71" bestFit="1" customWidth="1"/>
    <col min="3344" max="3585" width="8.85546875" style="71"/>
    <col min="3586" max="3586" width="8.42578125" style="71" customWidth="1"/>
    <col min="3587" max="3587" width="32.5703125" style="71" customWidth="1"/>
    <col min="3588" max="3588" width="16.140625" style="71" bestFit="1" customWidth="1"/>
    <col min="3589" max="3589" width="17" style="71" customWidth="1"/>
    <col min="3590" max="3590" width="14" style="71" customWidth="1"/>
    <col min="3591" max="3591" width="14.28515625" style="71" bestFit="1" customWidth="1"/>
    <col min="3592" max="3593" width="27.140625" style="71" customWidth="1"/>
    <col min="3594" max="3594" width="13.7109375" style="71" customWidth="1"/>
    <col min="3595" max="3595" width="16.28515625" style="71" customWidth="1"/>
    <col min="3596" max="3598" width="14.28515625" style="71" bestFit="1" customWidth="1"/>
    <col min="3599" max="3599" width="12.7109375" style="71" bestFit="1" customWidth="1"/>
    <col min="3600" max="3841" width="8.85546875" style="71"/>
    <col min="3842" max="3842" width="8.42578125" style="71" customWidth="1"/>
    <col min="3843" max="3843" width="32.5703125" style="71" customWidth="1"/>
    <col min="3844" max="3844" width="16.140625" style="71" bestFit="1" customWidth="1"/>
    <col min="3845" max="3845" width="17" style="71" customWidth="1"/>
    <col min="3846" max="3846" width="14" style="71" customWidth="1"/>
    <col min="3847" max="3847" width="14.28515625" style="71" bestFit="1" customWidth="1"/>
    <col min="3848" max="3849" width="27.140625" style="71" customWidth="1"/>
    <col min="3850" max="3850" width="13.7109375" style="71" customWidth="1"/>
    <col min="3851" max="3851" width="16.28515625" style="71" customWidth="1"/>
    <col min="3852" max="3854" width="14.28515625" style="71" bestFit="1" customWidth="1"/>
    <col min="3855" max="3855" width="12.7109375" style="71" bestFit="1" customWidth="1"/>
    <col min="3856" max="4097" width="8.85546875" style="71"/>
    <col min="4098" max="4098" width="8.42578125" style="71" customWidth="1"/>
    <col min="4099" max="4099" width="32.5703125" style="71" customWidth="1"/>
    <col min="4100" max="4100" width="16.140625" style="71" bestFit="1" customWidth="1"/>
    <col min="4101" max="4101" width="17" style="71" customWidth="1"/>
    <col min="4102" max="4102" width="14" style="71" customWidth="1"/>
    <col min="4103" max="4103" width="14.28515625" style="71" bestFit="1" customWidth="1"/>
    <col min="4104" max="4105" width="27.140625" style="71" customWidth="1"/>
    <col min="4106" max="4106" width="13.7109375" style="71" customWidth="1"/>
    <col min="4107" max="4107" width="16.28515625" style="71" customWidth="1"/>
    <col min="4108" max="4110" width="14.28515625" style="71" bestFit="1" customWidth="1"/>
    <col min="4111" max="4111" width="12.7109375" style="71" bestFit="1" customWidth="1"/>
    <col min="4112" max="4353" width="8.85546875" style="71"/>
    <col min="4354" max="4354" width="8.42578125" style="71" customWidth="1"/>
    <col min="4355" max="4355" width="32.5703125" style="71" customWidth="1"/>
    <col min="4356" max="4356" width="16.140625" style="71" bestFit="1" customWidth="1"/>
    <col min="4357" max="4357" width="17" style="71" customWidth="1"/>
    <col min="4358" max="4358" width="14" style="71" customWidth="1"/>
    <col min="4359" max="4359" width="14.28515625" style="71" bestFit="1" customWidth="1"/>
    <col min="4360" max="4361" width="27.140625" style="71" customWidth="1"/>
    <col min="4362" max="4362" width="13.7109375" style="71" customWidth="1"/>
    <col min="4363" max="4363" width="16.28515625" style="71" customWidth="1"/>
    <col min="4364" max="4366" width="14.28515625" style="71" bestFit="1" customWidth="1"/>
    <col min="4367" max="4367" width="12.7109375" style="71" bestFit="1" customWidth="1"/>
    <col min="4368" max="4609" width="8.85546875" style="71"/>
    <col min="4610" max="4610" width="8.42578125" style="71" customWidth="1"/>
    <col min="4611" max="4611" width="32.5703125" style="71" customWidth="1"/>
    <col min="4612" max="4612" width="16.140625" style="71" bestFit="1" customWidth="1"/>
    <col min="4613" max="4613" width="17" style="71" customWidth="1"/>
    <col min="4614" max="4614" width="14" style="71" customWidth="1"/>
    <col min="4615" max="4615" width="14.28515625" style="71" bestFit="1" customWidth="1"/>
    <col min="4616" max="4617" width="27.140625" style="71" customWidth="1"/>
    <col min="4618" max="4618" width="13.7109375" style="71" customWidth="1"/>
    <col min="4619" max="4619" width="16.28515625" style="71" customWidth="1"/>
    <col min="4620" max="4622" width="14.28515625" style="71" bestFit="1" customWidth="1"/>
    <col min="4623" max="4623" width="12.7109375" style="71" bestFit="1" customWidth="1"/>
    <col min="4624" max="4865" width="8.85546875" style="71"/>
    <col min="4866" max="4866" width="8.42578125" style="71" customWidth="1"/>
    <col min="4867" max="4867" width="32.5703125" style="71" customWidth="1"/>
    <col min="4868" max="4868" width="16.140625" style="71" bestFit="1" customWidth="1"/>
    <col min="4869" max="4869" width="17" style="71" customWidth="1"/>
    <col min="4870" max="4870" width="14" style="71" customWidth="1"/>
    <col min="4871" max="4871" width="14.28515625" style="71" bestFit="1" customWidth="1"/>
    <col min="4872" max="4873" width="27.140625" style="71" customWidth="1"/>
    <col min="4874" max="4874" width="13.7109375" style="71" customWidth="1"/>
    <col min="4875" max="4875" width="16.28515625" style="71" customWidth="1"/>
    <col min="4876" max="4878" width="14.28515625" style="71" bestFit="1" customWidth="1"/>
    <col min="4879" max="4879" width="12.7109375" style="71" bestFit="1" customWidth="1"/>
    <col min="4880" max="5121" width="8.85546875" style="71"/>
    <col min="5122" max="5122" width="8.42578125" style="71" customWidth="1"/>
    <col min="5123" max="5123" width="32.5703125" style="71" customWidth="1"/>
    <col min="5124" max="5124" width="16.140625" style="71" bestFit="1" customWidth="1"/>
    <col min="5125" max="5125" width="17" style="71" customWidth="1"/>
    <col min="5126" max="5126" width="14" style="71" customWidth="1"/>
    <col min="5127" max="5127" width="14.28515625" style="71" bestFit="1" customWidth="1"/>
    <col min="5128" max="5129" width="27.140625" style="71" customWidth="1"/>
    <col min="5130" max="5130" width="13.7109375" style="71" customWidth="1"/>
    <col min="5131" max="5131" width="16.28515625" style="71" customWidth="1"/>
    <col min="5132" max="5134" width="14.28515625" style="71" bestFit="1" customWidth="1"/>
    <col min="5135" max="5135" width="12.7109375" style="71" bestFit="1" customWidth="1"/>
    <col min="5136" max="5377" width="8.85546875" style="71"/>
    <col min="5378" max="5378" width="8.42578125" style="71" customWidth="1"/>
    <col min="5379" max="5379" width="32.5703125" style="71" customWidth="1"/>
    <col min="5380" max="5380" width="16.140625" style="71" bestFit="1" customWidth="1"/>
    <col min="5381" max="5381" width="17" style="71" customWidth="1"/>
    <col min="5382" max="5382" width="14" style="71" customWidth="1"/>
    <col min="5383" max="5383" width="14.28515625" style="71" bestFit="1" customWidth="1"/>
    <col min="5384" max="5385" width="27.140625" style="71" customWidth="1"/>
    <col min="5386" max="5386" width="13.7109375" style="71" customWidth="1"/>
    <col min="5387" max="5387" width="16.28515625" style="71" customWidth="1"/>
    <col min="5388" max="5390" width="14.28515625" style="71" bestFit="1" customWidth="1"/>
    <col min="5391" max="5391" width="12.7109375" style="71" bestFit="1" customWidth="1"/>
    <col min="5392" max="5633" width="8.85546875" style="71"/>
    <col min="5634" max="5634" width="8.42578125" style="71" customWidth="1"/>
    <col min="5635" max="5635" width="32.5703125" style="71" customWidth="1"/>
    <col min="5636" max="5636" width="16.140625" style="71" bestFit="1" customWidth="1"/>
    <col min="5637" max="5637" width="17" style="71" customWidth="1"/>
    <col min="5638" max="5638" width="14" style="71" customWidth="1"/>
    <col min="5639" max="5639" width="14.28515625" style="71" bestFit="1" customWidth="1"/>
    <col min="5640" max="5641" width="27.140625" style="71" customWidth="1"/>
    <col min="5642" max="5642" width="13.7109375" style="71" customWidth="1"/>
    <col min="5643" max="5643" width="16.28515625" style="71" customWidth="1"/>
    <col min="5644" max="5646" width="14.28515625" style="71" bestFit="1" customWidth="1"/>
    <col min="5647" max="5647" width="12.7109375" style="71" bestFit="1" customWidth="1"/>
    <col min="5648" max="5889" width="8.85546875" style="71"/>
    <col min="5890" max="5890" width="8.42578125" style="71" customWidth="1"/>
    <col min="5891" max="5891" width="32.5703125" style="71" customWidth="1"/>
    <col min="5892" max="5892" width="16.140625" style="71" bestFit="1" customWidth="1"/>
    <col min="5893" max="5893" width="17" style="71" customWidth="1"/>
    <col min="5894" max="5894" width="14" style="71" customWidth="1"/>
    <col min="5895" max="5895" width="14.28515625" style="71" bestFit="1" customWidth="1"/>
    <col min="5896" max="5897" width="27.140625" style="71" customWidth="1"/>
    <col min="5898" max="5898" width="13.7109375" style="71" customWidth="1"/>
    <col min="5899" max="5899" width="16.28515625" style="71" customWidth="1"/>
    <col min="5900" max="5902" width="14.28515625" style="71" bestFit="1" customWidth="1"/>
    <col min="5903" max="5903" width="12.7109375" style="71" bestFit="1" customWidth="1"/>
    <col min="5904" max="6145" width="8.85546875" style="71"/>
    <col min="6146" max="6146" width="8.42578125" style="71" customWidth="1"/>
    <col min="6147" max="6147" width="32.5703125" style="71" customWidth="1"/>
    <col min="6148" max="6148" width="16.140625" style="71" bestFit="1" customWidth="1"/>
    <col min="6149" max="6149" width="17" style="71" customWidth="1"/>
    <col min="6150" max="6150" width="14" style="71" customWidth="1"/>
    <col min="6151" max="6151" width="14.28515625" style="71" bestFit="1" customWidth="1"/>
    <col min="6152" max="6153" width="27.140625" style="71" customWidth="1"/>
    <col min="6154" max="6154" width="13.7109375" style="71" customWidth="1"/>
    <col min="6155" max="6155" width="16.28515625" style="71" customWidth="1"/>
    <col min="6156" max="6158" width="14.28515625" style="71" bestFit="1" customWidth="1"/>
    <col min="6159" max="6159" width="12.7109375" style="71" bestFit="1" customWidth="1"/>
    <col min="6160" max="6401" width="8.85546875" style="71"/>
    <col min="6402" max="6402" width="8.42578125" style="71" customWidth="1"/>
    <col min="6403" max="6403" width="32.5703125" style="71" customWidth="1"/>
    <col min="6404" max="6404" width="16.140625" style="71" bestFit="1" customWidth="1"/>
    <col min="6405" max="6405" width="17" style="71" customWidth="1"/>
    <col min="6406" max="6406" width="14" style="71" customWidth="1"/>
    <col min="6407" max="6407" width="14.28515625" style="71" bestFit="1" customWidth="1"/>
    <col min="6408" max="6409" width="27.140625" style="71" customWidth="1"/>
    <col min="6410" max="6410" width="13.7109375" style="71" customWidth="1"/>
    <col min="6411" max="6411" width="16.28515625" style="71" customWidth="1"/>
    <col min="6412" max="6414" width="14.28515625" style="71" bestFit="1" customWidth="1"/>
    <col min="6415" max="6415" width="12.7109375" style="71" bestFit="1" customWidth="1"/>
    <col min="6416" max="6657" width="8.85546875" style="71"/>
    <col min="6658" max="6658" width="8.42578125" style="71" customWidth="1"/>
    <col min="6659" max="6659" width="32.5703125" style="71" customWidth="1"/>
    <col min="6660" max="6660" width="16.140625" style="71" bestFit="1" customWidth="1"/>
    <col min="6661" max="6661" width="17" style="71" customWidth="1"/>
    <col min="6662" max="6662" width="14" style="71" customWidth="1"/>
    <col min="6663" max="6663" width="14.28515625" style="71" bestFit="1" customWidth="1"/>
    <col min="6664" max="6665" width="27.140625" style="71" customWidth="1"/>
    <col min="6666" max="6666" width="13.7109375" style="71" customWidth="1"/>
    <col min="6667" max="6667" width="16.28515625" style="71" customWidth="1"/>
    <col min="6668" max="6670" width="14.28515625" style="71" bestFit="1" customWidth="1"/>
    <col min="6671" max="6671" width="12.7109375" style="71" bestFit="1" customWidth="1"/>
    <col min="6672" max="6913" width="8.85546875" style="71"/>
    <col min="6914" max="6914" width="8.42578125" style="71" customWidth="1"/>
    <col min="6915" max="6915" width="32.5703125" style="71" customWidth="1"/>
    <col min="6916" max="6916" width="16.140625" style="71" bestFit="1" customWidth="1"/>
    <col min="6917" max="6917" width="17" style="71" customWidth="1"/>
    <col min="6918" max="6918" width="14" style="71" customWidth="1"/>
    <col min="6919" max="6919" width="14.28515625" style="71" bestFit="1" customWidth="1"/>
    <col min="6920" max="6921" width="27.140625" style="71" customWidth="1"/>
    <col min="6922" max="6922" width="13.7109375" style="71" customWidth="1"/>
    <col min="6923" max="6923" width="16.28515625" style="71" customWidth="1"/>
    <col min="6924" max="6926" width="14.28515625" style="71" bestFit="1" customWidth="1"/>
    <col min="6927" max="6927" width="12.7109375" style="71" bestFit="1" customWidth="1"/>
    <col min="6928" max="7169" width="8.85546875" style="71"/>
    <col min="7170" max="7170" width="8.42578125" style="71" customWidth="1"/>
    <col min="7171" max="7171" width="32.5703125" style="71" customWidth="1"/>
    <col min="7172" max="7172" width="16.140625" style="71" bestFit="1" customWidth="1"/>
    <col min="7173" max="7173" width="17" style="71" customWidth="1"/>
    <col min="7174" max="7174" width="14" style="71" customWidth="1"/>
    <col min="7175" max="7175" width="14.28515625" style="71" bestFit="1" customWidth="1"/>
    <col min="7176" max="7177" width="27.140625" style="71" customWidth="1"/>
    <col min="7178" max="7178" width="13.7109375" style="71" customWidth="1"/>
    <col min="7179" max="7179" width="16.28515625" style="71" customWidth="1"/>
    <col min="7180" max="7182" width="14.28515625" style="71" bestFit="1" customWidth="1"/>
    <col min="7183" max="7183" width="12.7109375" style="71" bestFit="1" customWidth="1"/>
    <col min="7184" max="7425" width="8.85546875" style="71"/>
    <col min="7426" max="7426" width="8.42578125" style="71" customWidth="1"/>
    <col min="7427" max="7427" width="32.5703125" style="71" customWidth="1"/>
    <col min="7428" max="7428" width="16.140625" style="71" bestFit="1" customWidth="1"/>
    <col min="7429" max="7429" width="17" style="71" customWidth="1"/>
    <col min="7430" max="7430" width="14" style="71" customWidth="1"/>
    <col min="7431" max="7431" width="14.28515625" style="71" bestFit="1" customWidth="1"/>
    <col min="7432" max="7433" width="27.140625" style="71" customWidth="1"/>
    <col min="7434" max="7434" width="13.7109375" style="71" customWidth="1"/>
    <col min="7435" max="7435" width="16.28515625" style="71" customWidth="1"/>
    <col min="7436" max="7438" width="14.28515625" style="71" bestFit="1" customWidth="1"/>
    <col min="7439" max="7439" width="12.7109375" style="71" bestFit="1" customWidth="1"/>
    <col min="7440" max="7681" width="8.85546875" style="71"/>
    <col min="7682" max="7682" width="8.42578125" style="71" customWidth="1"/>
    <col min="7683" max="7683" width="32.5703125" style="71" customWidth="1"/>
    <col min="7684" max="7684" width="16.140625" style="71" bestFit="1" customWidth="1"/>
    <col min="7685" max="7685" width="17" style="71" customWidth="1"/>
    <col min="7686" max="7686" width="14" style="71" customWidth="1"/>
    <col min="7687" max="7687" width="14.28515625" style="71" bestFit="1" customWidth="1"/>
    <col min="7688" max="7689" width="27.140625" style="71" customWidth="1"/>
    <col min="7690" max="7690" width="13.7109375" style="71" customWidth="1"/>
    <col min="7691" max="7691" width="16.28515625" style="71" customWidth="1"/>
    <col min="7692" max="7694" width="14.28515625" style="71" bestFit="1" customWidth="1"/>
    <col min="7695" max="7695" width="12.7109375" style="71" bestFit="1" customWidth="1"/>
    <col min="7696" max="7937" width="8.85546875" style="71"/>
    <col min="7938" max="7938" width="8.42578125" style="71" customWidth="1"/>
    <col min="7939" max="7939" width="32.5703125" style="71" customWidth="1"/>
    <col min="7940" max="7940" width="16.140625" style="71" bestFit="1" customWidth="1"/>
    <col min="7941" max="7941" width="17" style="71" customWidth="1"/>
    <col min="7942" max="7942" width="14" style="71" customWidth="1"/>
    <col min="7943" max="7943" width="14.28515625" style="71" bestFit="1" customWidth="1"/>
    <col min="7944" max="7945" width="27.140625" style="71" customWidth="1"/>
    <col min="7946" max="7946" width="13.7109375" style="71" customWidth="1"/>
    <col min="7947" max="7947" width="16.28515625" style="71" customWidth="1"/>
    <col min="7948" max="7950" width="14.28515625" style="71" bestFit="1" customWidth="1"/>
    <col min="7951" max="7951" width="12.7109375" style="71" bestFit="1" customWidth="1"/>
    <col min="7952" max="8193" width="8.85546875" style="71"/>
    <col min="8194" max="8194" width="8.42578125" style="71" customWidth="1"/>
    <col min="8195" max="8195" width="32.5703125" style="71" customWidth="1"/>
    <col min="8196" max="8196" width="16.140625" style="71" bestFit="1" customWidth="1"/>
    <col min="8197" max="8197" width="17" style="71" customWidth="1"/>
    <col min="8198" max="8198" width="14" style="71" customWidth="1"/>
    <col min="8199" max="8199" width="14.28515625" style="71" bestFit="1" customWidth="1"/>
    <col min="8200" max="8201" width="27.140625" style="71" customWidth="1"/>
    <col min="8202" max="8202" width="13.7109375" style="71" customWidth="1"/>
    <col min="8203" max="8203" width="16.28515625" style="71" customWidth="1"/>
    <col min="8204" max="8206" width="14.28515625" style="71" bestFit="1" customWidth="1"/>
    <col min="8207" max="8207" width="12.7109375" style="71" bestFit="1" customWidth="1"/>
    <col min="8208" max="8449" width="8.85546875" style="71"/>
    <col min="8450" max="8450" width="8.42578125" style="71" customWidth="1"/>
    <col min="8451" max="8451" width="32.5703125" style="71" customWidth="1"/>
    <col min="8452" max="8452" width="16.140625" style="71" bestFit="1" customWidth="1"/>
    <col min="8453" max="8453" width="17" style="71" customWidth="1"/>
    <col min="8454" max="8454" width="14" style="71" customWidth="1"/>
    <col min="8455" max="8455" width="14.28515625" style="71" bestFit="1" customWidth="1"/>
    <col min="8456" max="8457" width="27.140625" style="71" customWidth="1"/>
    <col min="8458" max="8458" width="13.7109375" style="71" customWidth="1"/>
    <col min="8459" max="8459" width="16.28515625" style="71" customWidth="1"/>
    <col min="8460" max="8462" width="14.28515625" style="71" bestFit="1" customWidth="1"/>
    <col min="8463" max="8463" width="12.7109375" style="71" bestFit="1" customWidth="1"/>
    <col min="8464" max="8705" width="8.85546875" style="71"/>
    <col min="8706" max="8706" width="8.42578125" style="71" customWidth="1"/>
    <col min="8707" max="8707" width="32.5703125" style="71" customWidth="1"/>
    <col min="8708" max="8708" width="16.140625" style="71" bestFit="1" customWidth="1"/>
    <col min="8709" max="8709" width="17" style="71" customWidth="1"/>
    <col min="8710" max="8710" width="14" style="71" customWidth="1"/>
    <col min="8711" max="8711" width="14.28515625" style="71" bestFit="1" customWidth="1"/>
    <col min="8712" max="8713" width="27.140625" style="71" customWidth="1"/>
    <col min="8714" max="8714" width="13.7109375" style="71" customWidth="1"/>
    <col min="8715" max="8715" width="16.28515625" style="71" customWidth="1"/>
    <col min="8716" max="8718" width="14.28515625" style="71" bestFit="1" customWidth="1"/>
    <col min="8719" max="8719" width="12.7109375" style="71" bestFit="1" customWidth="1"/>
    <col min="8720" max="8961" width="8.85546875" style="71"/>
    <col min="8962" max="8962" width="8.42578125" style="71" customWidth="1"/>
    <col min="8963" max="8963" width="32.5703125" style="71" customWidth="1"/>
    <col min="8964" max="8964" width="16.140625" style="71" bestFit="1" customWidth="1"/>
    <col min="8965" max="8965" width="17" style="71" customWidth="1"/>
    <col min="8966" max="8966" width="14" style="71" customWidth="1"/>
    <col min="8967" max="8967" width="14.28515625" style="71" bestFit="1" customWidth="1"/>
    <col min="8968" max="8969" width="27.140625" style="71" customWidth="1"/>
    <col min="8970" max="8970" width="13.7109375" style="71" customWidth="1"/>
    <col min="8971" max="8971" width="16.28515625" style="71" customWidth="1"/>
    <col min="8972" max="8974" width="14.28515625" style="71" bestFit="1" customWidth="1"/>
    <col min="8975" max="8975" width="12.7109375" style="71" bestFit="1" customWidth="1"/>
    <col min="8976" max="9217" width="8.85546875" style="71"/>
    <col min="9218" max="9218" width="8.42578125" style="71" customWidth="1"/>
    <col min="9219" max="9219" width="32.5703125" style="71" customWidth="1"/>
    <col min="9220" max="9220" width="16.140625" style="71" bestFit="1" customWidth="1"/>
    <col min="9221" max="9221" width="17" style="71" customWidth="1"/>
    <col min="9222" max="9222" width="14" style="71" customWidth="1"/>
    <col min="9223" max="9223" width="14.28515625" style="71" bestFit="1" customWidth="1"/>
    <col min="9224" max="9225" width="27.140625" style="71" customWidth="1"/>
    <col min="9226" max="9226" width="13.7109375" style="71" customWidth="1"/>
    <col min="9227" max="9227" width="16.28515625" style="71" customWidth="1"/>
    <col min="9228" max="9230" width="14.28515625" style="71" bestFit="1" customWidth="1"/>
    <col min="9231" max="9231" width="12.7109375" style="71" bestFit="1" customWidth="1"/>
    <col min="9232" max="9473" width="8.85546875" style="71"/>
    <col min="9474" max="9474" width="8.42578125" style="71" customWidth="1"/>
    <col min="9475" max="9475" width="32.5703125" style="71" customWidth="1"/>
    <col min="9476" max="9476" width="16.140625" style="71" bestFit="1" customWidth="1"/>
    <col min="9477" max="9477" width="17" style="71" customWidth="1"/>
    <col min="9478" max="9478" width="14" style="71" customWidth="1"/>
    <col min="9479" max="9479" width="14.28515625" style="71" bestFit="1" customWidth="1"/>
    <col min="9480" max="9481" width="27.140625" style="71" customWidth="1"/>
    <col min="9482" max="9482" width="13.7109375" style="71" customWidth="1"/>
    <col min="9483" max="9483" width="16.28515625" style="71" customWidth="1"/>
    <col min="9484" max="9486" width="14.28515625" style="71" bestFit="1" customWidth="1"/>
    <col min="9487" max="9487" width="12.7109375" style="71" bestFit="1" customWidth="1"/>
    <col min="9488" max="9729" width="8.85546875" style="71"/>
    <col min="9730" max="9730" width="8.42578125" style="71" customWidth="1"/>
    <col min="9731" max="9731" width="32.5703125" style="71" customWidth="1"/>
    <col min="9732" max="9732" width="16.140625" style="71" bestFit="1" customWidth="1"/>
    <col min="9733" max="9733" width="17" style="71" customWidth="1"/>
    <col min="9734" max="9734" width="14" style="71" customWidth="1"/>
    <col min="9735" max="9735" width="14.28515625" style="71" bestFit="1" customWidth="1"/>
    <col min="9736" max="9737" width="27.140625" style="71" customWidth="1"/>
    <col min="9738" max="9738" width="13.7109375" style="71" customWidth="1"/>
    <col min="9739" max="9739" width="16.28515625" style="71" customWidth="1"/>
    <col min="9740" max="9742" width="14.28515625" style="71" bestFit="1" customWidth="1"/>
    <col min="9743" max="9743" width="12.7109375" style="71" bestFit="1" customWidth="1"/>
    <col min="9744" max="9985" width="8.85546875" style="71"/>
    <col min="9986" max="9986" width="8.42578125" style="71" customWidth="1"/>
    <col min="9987" max="9987" width="32.5703125" style="71" customWidth="1"/>
    <col min="9988" max="9988" width="16.140625" style="71" bestFit="1" customWidth="1"/>
    <col min="9989" max="9989" width="17" style="71" customWidth="1"/>
    <col min="9990" max="9990" width="14" style="71" customWidth="1"/>
    <col min="9991" max="9991" width="14.28515625" style="71" bestFit="1" customWidth="1"/>
    <col min="9992" max="9993" width="27.140625" style="71" customWidth="1"/>
    <col min="9994" max="9994" width="13.7109375" style="71" customWidth="1"/>
    <col min="9995" max="9995" width="16.28515625" style="71" customWidth="1"/>
    <col min="9996" max="9998" width="14.28515625" style="71" bestFit="1" customWidth="1"/>
    <col min="9999" max="9999" width="12.7109375" style="71" bestFit="1" customWidth="1"/>
    <col min="10000" max="10241" width="8.85546875" style="71"/>
    <col min="10242" max="10242" width="8.42578125" style="71" customWidth="1"/>
    <col min="10243" max="10243" width="32.5703125" style="71" customWidth="1"/>
    <col min="10244" max="10244" width="16.140625" style="71" bestFit="1" customWidth="1"/>
    <col min="10245" max="10245" width="17" style="71" customWidth="1"/>
    <col min="10246" max="10246" width="14" style="71" customWidth="1"/>
    <col min="10247" max="10247" width="14.28515625" style="71" bestFit="1" customWidth="1"/>
    <col min="10248" max="10249" width="27.140625" style="71" customWidth="1"/>
    <col min="10250" max="10250" width="13.7109375" style="71" customWidth="1"/>
    <col min="10251" max="10251" width="16.28515625" style="71" customWidth="1"/>
    <col min="10252" max="10254" width="14.28515625" style="71" bestFit="1" customWidth="1"/>
    <col min="10255" max="10255" width="12.7109375" style="71" bestFit="1" customWidth="1"/>
    <col min="10256" max="10497" width="8.85546875" style="71"/>
    <col min="10498" max="10498" width="8.42578125" style="71" customWidth="1"/>
    <col min="10499" max="10499" width="32.5703125" style="71" customWidth="1"/>
    <col min="10500" max="10500" width="16.140625" style="71" bestFit="1" customWidth="1"/>
    <col min="10501" max="10501" width="17" style="71" customWidth="1"/>
    <col min="10502" max="10502" width="14" style="71" customWidth="1"/>
    <col min="10503" max="10503" width="14.28515625" style="71" bestFit="1" customWidth="1"/>
    <col min="10504" max="10505" width="27.140625" style="71" customWidth="1"/>
    <col min="10506" max="10506" width="13.7109375" style="71" customWidth="1"/>
    <col min="10507" max="10507" width="16.28515625" style="71" customWidth="1"/>
    <col min="10508" max="10510" width="14.28515625" style="71" bestFit="1" customWidth="1"/>
    <col min="10511" max="10511" width="12.7109375" style="71" bestFit="1" customWidth="1"/>
    <col min="10512" max="10753" width="8.85546875" style="71"/>
    <col min="10754" max="10754" width="8.42578125" style="71" customWidth="1"/>
    <col min="10755" max="10755" width="32.5703125" style="71" customWidth="1"/>
    <col min="10756" max="10756" width="16.140625" style="71" bestFit="1" customWidth="1"/>
    <col min="10757" max="10757" width="17" style="71" customWidth="1"/>
    <col min="10758" max="10758" width="14" style="71" customWidth="1"/>
    <col min="10759" max="10759" width="14.28515625" style="71" bestFit="1" customWidth="1"/>
    <col min="10760" max="10761" width="27.140625" style="71" customWidth="1"/>
    <col min="10762" max="10762" width="13.7109375" style="71" customWidth="1"/>
    <col min="10763" max="10763" width="16.28515625" style="71" customWidth="1"/>
    <col min="10764" max="10766" width="14.28515625" style="71" bestFit="1" customWidth="1"/>
    <col min="10767" max="10767" width="12.7109375" style="71" bestFit="1" customWidth="1"/>
    <col min="10768" max="11009" width="8.85546875" style="71"/>
    <col min="11010" max="11010" width="8.42578125" style="71" customWidth="1"/>
    <col min="11011" max="11011" width="32.5703125" style="71" customWidth="1"/>
    <col min="11012" max="11012" width="16.140625" style="71" bestFit="1" customWidth="1"/>
    <col min="11013" max="11013" width="17" style="71" customWidth="1"/>
    <col min="11014" max="11014" width="14" style="71" customWidth="1"/>
    <col min="11015" max="11015" width="14.28515625" style="71" bestFit="1" customWidth="1"/>
    <col min="11016" max="11017" width="27.140625" style="71" customWidth="1"/>
    <col min="11018" max="11018" width="13.7109375" style="71" customWidth="1"/>
    <col min="11019" max="11019" width="16.28515625" style="71" customWidth="1"/>
    <col min="11020" max="11022" width="14.28515625" style="71" bestFit="1" customWidth="1"/>
    <col min="11023" max="11023" width="12.7109375" style="71" bestFit="1" customWidth="1"/>
    <col min="11024" max="11265" width="8.85546875" style="71"/>
    <col min="11266" max="11266" width="8.42578125" style="71" customWidth="1"/>
    <col min="11267" max="11267" width="32.5703125" style="71" customWidth="1"/>
    <col min="11268" max="11268" width="16.140625" style="71" bestFit="1" customWidth="1"/>
    <col min="11269" max="11269" width="17" style="71" customWidth="1"/>
    <col min="11270" max="11270" width="14" style="71" customWidth="1"/>
    <col min="11271" max="11271" width="14.28515625" style="71" bestFit="1" customWidth="1"/>
    <col min="11272" max="11273" width="27.140625" style="71" customWidth="1"/>
    <col min="11274" max="11274" width="13.7109375" style="71" customWidth="1"/>
    <col min="11275" max="11275" width="16.28515625" style="71" customWidth="1"/>
    <col min="11276" max="11278" width="14.28515625" style="71" bestFit="1" customWidth="1"/>
    <col min="11279" max="11279" width="12.7109375" style="71" bestFit="1" customWidth="1"/>
    <col min="11280" max="11521" width="8.85546875" style="71"/>
    <col min="11522" max="11522" width="8.42578125" style="71" customWidth="1"/>
    <col min="11523" max="11523" width="32.5703125" style="71" customWidth="1"/>
    <col min="11524" max="11524" width="16.140625" style="71" bestFit="1" customWidth="1"/>
    <col min="11525" max="11525" width="17" style="71" customWidth="1"/>
    <col min="11526" max="11526" width="14" style="71" customWidth="1"/>
    <col min="11527" max="11527" width="14.28515625" style="71" bestFit="1" customWidth="1"/>
    <col min="11528" max="11529" width="27.140625" style="71" customWidth="1"/>
    <col min="11530" max="11530" width="13.7109375" style="71" customWidth="1"/>
    <col min="11531" max="11531" width="16.28515625" style="71" customWidth="1"/>
    <col min="11532" max="11534" width="14.28515625" style="71" bestFit="1" customWidth="1"/>
    <col min="11535" max="11535" width="12.7109375" style="71" bestFit="1" customWidth="1"/>
    <col min="11536" max="11777" width="8.85546875" style="71"/>
    <col min="11778" max="11778" width="8.42578125" style="71" customWidth="1"/>
    <col min="11779" max="11779" width="32.5703125" style="71" customWidth="1"/>
    <col min="11780" max="11780" width="16.140625" style="71" bestFit="1" customWidth="1"/>
    <col min="11781" max="11781" width="17" style="71" customWidth="1"/>
    <col min="11782" max="11782" width="14" style="71" customWidth="1"/>
    <col min="11783" max="11783" width="14.28515625" style="71" bestFit="1" customWidth="1"/>
    <col min="11784" max="11785" width="27.140625" style="71" customWidth="1"/>
    <col min="11786" max="11786" width="13.7109375" style="71" customWidth="1"/>
    <col min="11787" max="11787" width="16.28515625" style="71" customWidth="1"/>
    <col min="11788" max="11790" width="14.28515625" style="71" bestFit="1" customWidth="1"/>
    <col min="11791" max="11791" width="12.7109375" style="71" bestFit="1" customWidth="1"/>
    <col min="11792" max="12033" width="8.85546875" style="71"/>
    <col min="12034" max="12034" width="8.42578125" style="71" customWidth="1"/>
    <col min="12035" max="12035" width="32.5703125" style="71" customWidth="1"/>
    <col min="12036" max="12036" width="16.140625" style="71" bestFit="1" customWidth="1"/>
    <col min="12037" max="12037" width="17" style="71" customWidth="1"/>
    <col min="12038" max="12038" width="14" style="71" customWidth="1"/>
    <col min="12039" max="12039" width="14.28515625" style="71" bestFit="1" customWidth="1"/>
    <col min="12040" max="12041" width="27.140625" style="71" customWidth="1"/>
    <col min="12042" max="12042" width="13.7109375" style="71" customWidth="1"/>
    <col min="12043" max="12043" width="16.28515625" style="71" customWidth="1"/>
    <col min="12044" max="12046" width="14.28515625" style="71" bestFit="1" customWidth="1"/>
    <col min="12047" max="12047" width="12.7109375" style="71" bestFit="1" customWidth="1"/>
    <col min="12048" max="12289" width="8.85546875" style="71"/>
    <col min="12290" max="12290" width="8.42578125" style="71" customWidth="1"/>
    <col min="12291" max="12291" width="32.5703125" style="71" customWidth="1"/>
    <col min="12292" max="12292" width="16.140625" style="71" bestFit="1" customWidth="1"/>
    <col min="12293" max="12293" width="17" style="71" customWidth="1"/>
    <col min="12294" max="12294" width="14" style="71" customWidth="1"/>
    <col min="12295" max="12295" width="14.28515625" style="71" bestFit="1" customWidth="1"/>
    <col min="12296" max="12297" width="27.140625" style="71" customWidth="1"/>
    <col min="12298" max="12298" width="13.7109375" style="71" customWidth="1"/>
    <col min="12299" max="12299" width="16.28515625" style="71" customWidth="1"/>
    <col min="12300" max="12302" width="14.28515625" style="71" bestFit="1" customWidth="1"/>
    <col min="12303" max="12303" width="12.7109375" style="71" bestFit="1" customWidth="1"/>
    <col min="12304" max="12545" width="8.85546875" style="71"/>
    <col min="12546" max="12546" width="8.42578125" style="71" customWidth="1"/>
    <col min="12547" max="12547" width="32.5703125" style="71" customWidth="1"/>
    <col min="12548" max="12548" width="16.140625" style="71" bestFit="1" customWidth="1"/>
    <col min="12549" max="12549" width="17" style="71" customWidth="1"/>
    <col min="12550" max="12550" width="14" style="71" customWidth="1"/>
    <col min="12551" max="12551" width="14.28515625" style="71" bestFit="1" customWidth="1"/>
    <col min="12552" max="12553" width="27.140625" style="71" customWidth="1"/>
    <col min="12554" max="12554" width="13.7109375" style="71" customWidth="1"/>
    <col min="12555" max="12555" width="16.28515625" style="71" customWidth="1"/>
    <col min="12556" max="12558" width="14.28515625" style="71" bestFit="1" customWidth="1"/>
    <col min="12559" max="12559" width="12.7109375" style="71" bestFit="1" customWidth="1"/>
    <col min="12560" max="12801" width="8.85546875" style="71"/>
    <col min="12802" max="12802" width="8.42578125" style="71" customWidth="1"/>
    <col min="12803" max="12803" width="32.5703125" style="71" customWidth="1"/>
    <col min="12804" max="12804" width="16.140625" style="71" bestFit="1" customWidth="1"/>
    <col min="12805" max="12805" width="17" style="71" customWidth="1"/>
    <col min="12806" max="12806" width="14" style="71" customWidth="1"/>
    <col min="12807" max="12807" width="14.28515625" style="71" bestFit="1" customWidth="1"/>
    <col min="12808" max="12809" width="27.140625" style="71" customWidth="1"/>
    <col min="12810" max="12810" width="13.7109375" style="71" customWidth="1"/>
    <col min="12811" max="12811" width="16.28515625" style="71" customWidth="1"/>
    <col min="12812" max="12814" width="14.28515625" style="71" bestFit="1" customWidth="1"/>
    <col min="12815" max="12815" width="12.7109375" style="71" bestFit="1" customWidth="1"/>
    <col min="12816" max="13057" width="8.85546875" style="71"/>
    <col min="13058" max="13058" width="8.42578125" style="71" customWidth="1"/>
    <col min="13059" max="13059" width="32.5703125" style="71" customWidth="1"/>
    <col min="13060" max="13060" width="16.140625" style="71" bestFit="1" customWidth="1"/>
    <col min="13061" max="13061" width="17" style="71" customWidth="1"/>
    <col min="13062" max="13062" width="14" style="71" customWidth="1"/>
    <col min="13063" max="13063" width="14.28515625" style="71" bestFit="1" customWidth="1"/>
    <col min="13064" max="13065" width="27.140625" style="71" customWidth="1"/>
    <col min="13066" max="13066" width="13.7109375" style="71" customWidth="1"/>
    <col min="13067" max="13067" width="16.28515625" style="71" customWidth="1"/>
    <col min="13068" max="13070" width="14.28515625" style="71" bestFit="1" customWidth="1"/>
    <col min="13071" max="13071" width="12.7109375" style="71" bestFit="1" customWidth="1"/>
    <col min="13072" max="13313" width="8.85546875" style="71"/>
    <col min="13314" max="13314" width="8.42578125" style="71" customWidth="1"/>
    <col min="13315" max="13315" width="32.5703125" style="71" customWidth="1"/>
    <col min="13316" max="13316" width="16.140625" style="71" bestFit="1" customWidth="1"/>
    <col min="13317" max="13317" width="17" style="71" customWidth="1"/>
    <col min="13318" max="13318" width="14" style="71" customWidth="1"/>
    <col min="13319" max="13319" width="14.28515625" style="71" bestFit="1" customWidth="1"/>
    <col min="13320" max="13321" width="27.140625" style="71" customWidth="1"/>
    <col min="13322" max="13322" width="13.7109375" style="71" customWidth="1"/>
    <col min="13323" max="13323" width="16.28515625" style="71" customWidth="1"/>
    <col min="13324" max="13326" width="14.28515625" style="71" bestFit="1" customWidth="1"/>
    <col min="13327" max="13327" width="12.7109375" style="71" bestFit="1" customWidth="1"/>
    <col min="13328" max="13569" width="8.85546875" style="71"/>
    <col min="13570" max="13570" width="8.42578125" style="71" customWidth="1"/>
    <col min="13571" max="13571" width="32.5703125" style="71" customWidth="1"/>
    <col min="13572" max="13572" width="16.140625" style="71" bestFit="1" customWidth="1"/>
    <col min="13573" max="13573" width="17" style="71" customWidth="1"/>
    <col min="13574" max="13574" width="14" style="71" customWidth="1"/>
    <col min="13575" max="13575" width="14.28515625" style="71" bestFit="1" customWidth="1"/>
    <col min="13576" max="13577" width="27.140625" style="71" customWidth="1"/>
    <col min="13578" max="13578" width="13.7109375" style="71" customWidth="1"/>
    <col min="13579" max="13579" width="16.28515625" style="71" customWidth="1"/>
    <col min="13580" max="13582" width="14.28515625" style="71" bestFit="1" customWidth="1"/>
    <col min="13583" max="13583" width="12.7109375" style="71" bestFit="1" customWidth="1"/>
    <col min="13584" max="13825" width="8.85546875" style="71"/>
    <col min="13826" max="13826" width="8.42578125" style="71" customWidth="1"/>
    <col min="13827" max="13827" width="32.5703125" style="71" customWidth="1"/>
    <col min="13828" max="13828" width="16.140625" style="71" bestFit="1" customWidth="1"/>
    <col min="13829" max="13829" width="17" style="71" customWidth="1"/>
    <col min="13830" max="13830" width="14" style="71" customWidth="1"/>
    <col min="13831" max="13831" width="14.28515625" style="71" bestFit="1" customWidth="1"/>
    <col min="13832" max="13833" width="27.140625" style="71" customWidth="1"/>
    <col min="13834" max="13834" width="13.7109375" style="71" customWidth="1"/>
    <col min="13835" max="13835" width="16.28515625" style="71" customWidth="1"/>
    <col min="13836" max="13838" width="14.28515625" style="71" bestFit="1" customWidth="1"/>
    <col min="13839" max="13839" width="12.7109375" style="71" bestFit="1" customWidth="1"/>
    <col min="13840" max="14081" width="8.85546875" style="71"/>
    <col min="14082" max="14082" width="8.42578125" style="71" customWidth="1"/>
    <col min="14083" max="14083" width="32.5703125" style="71" customWidth="1"/>
    <col min="14084" max="14084" width="16.140625" style="71" bestFit="1" customWidth="1"/>
    <col min="14085" max="14085" width="17" style="71" customWidth="1"/>
    <col min="14086" max="14086" width="14" style="71" customWidth="1"/>
    <col min="14087" max="14087" width="14.28515625" style="71" bestFit="1" customWidth="1"/>
    <col min="14088" max="14089" width="27.140625" style="71" customWidth="1"/>
    <col min="14090" max="14090" width="13.7109375" style="71" customWidth="1"/>
    <col min="14091" max="14091" width="16.28515625" style="71" customWidth="1"/>
    <col min="14092" max="14094" width="14.28515625" style="71" bestFit="1" customWidth="1"/>
    <col min="14095" max="14095" width="12.7109375" style="71" bestFit="1" customWidth="1"/>
    <col min="14096" max="14337" width="8.85546875" style="71"/>
    <col min="14338" max="14338" width="8.42578125" style="71" customWidth="1"/>
    <col min="14339" max="14339" width="32.5703125" style="71" customWidth="1"/>
    <col min="14340" max="14340" width="16.140625" style="71" bestFit="1" customWidth="1"/>
    <col min="14341" max="14341" width="17" style="71" customWidth="1"/>
    <col min="14342" max="14342" width="14" style="71" customWidth="1"/>
    <col min="14343" max="14343" width="14.28515625" style="71" bestFit="1" customWidth="1"/>
    <col min="14344" max="14345" width="27.140625" style="71" customWidth="1"/>
    <col min="14346" max="14346" width="13.7109375" style="71" customWidth="1"/>
    <col min="14347" max="14347" width="16.28515625" style="71" customWidth="1"/>
    <col min="14348" max="14350" width="14.28515625" style="71" bestFit="1" customWidth="1"/>
    <col min="14351" max="14351" width="12.7109375" style="71" bestFit="1" customWidth="1"/>
    <col min="14352" max="14593" width="8.85546875" style="71"/>
    <col min="14594" max="14594" width="8.42578125" style="71" customWidth="1"/>
    <col min="14595" max="14595" width="32.5703125" style="71" customWidth="1"/>
    <col min="14596" max="14596" width="16.140625" style="71" bestFit="1" customWidth="1"/>
    <col min="14597" max="14597" width="17" style="71" customWidth="1"/>
    <col min="14598" max="14598" width="14" style="71" customWidth="1"/>
    <col min="14599" max="14599" width="14.28515625" style="71" bestFit="1" customWidth="1"/>
    <col min="14600" max="14601" width="27.140625" style="71" customWidth="1"/>
    <col min="14602" max="14602" width="13.7109375" style="71" customWidth="1"/>
    <col min="14603" max="14603" width="16.28515625" style="71" customWidth="1"/>
    <col min="14604" max="14606" width="14.28515625" style="71" bestFit="1" customWidth="1"/>
    <col min="14607" max="14607" width="12.7109375" style="71" bestFit="1" customWidth="1"/>
    <col min="14608" max="14849" width="8.85546875" style="71"/>
    <col min="14850" max="14850" width="8.42578125" style="71" customWidth="1"/>
    <col min="14851" max="14851" width="32.5703125" style="71" customWidth="1"/>
    <col min="14852" max="14852" width="16.140625" style="71" bestFit="1" customWidth="1"/>
    <col min="14853" max="14853" width="17" style="71" customWidth="1"/>
    <col min="14854" max="14854" width="14" style="71" customWidth="1"/>
    <col min="14855" max="14855" width="14.28515625" style="71" bestFit="1" customWidth="1"/>
    <col min="14856" max="14857" width="27.140625" style="71" customWidth="1"/>
    <col min="14858" max="14858" width="13.7109375" style="71" customWidth="1"/>
    <col min="14859" max="14859" width="16.28515625" style="71" customWidth="1"/>
    <col min="14860" max="14862" width="14.28515625" style="71" bestFit="1" customWidth="1"/>
    <col min="14863" max="14863" width="12.7109375" style="71" bestFit="1" customWidth="1"/>
    <col min="14864" max="15105" width="8.85546875" style="71"/>
    <col min="15106" max="15106" width="8.42578125" style="71" customWidth="1"/>
    <col min="15107" max="15107" width="32.5703125" style="71" customWidth="1"/>
    <col min="15108" max="15108" width="16.140625" style="71" bestFit="1" customWidth="1"/>
    <col min="15109" max="15109" width="17" style="71" customWidth="1"/>
    <col min="15110" max="15110" width="14" style="71" customWidth="1"/>
    <col min="15111" max="15111" width="14.28515625" style="71" bestFit="1" customWidth="1"/>
    <col min="15112" max="15113" width="27.140625" style="71" customWidth="1"/>
    <col min="15114" max="15114" width="13.7109375" style="71" customWidth="1"/>
    <col min="15115" max="15115" width="16.28515625" style="71" customWidth="1"/>
    <col min="15116" max="15118" width="14.28515625" style="71" bestFit="1" customWidth="1"/>
    <col min="15119" max="15119" width="12.7109375" style="71" bestFit="1" customWidth="1"/>
    <col min="15120" max="15361" width="8.85546875" style="71"/>
    <col min="15362" max="15362" width="8.42578125" style="71" customWidth="1"/>
    <col min="15363" max="15363" width="32.5703125" style="71" customWidth="1"/>
    <col min="15364" max="15364" width="16.140625" style="71" bestFit="1" customWidth="1"/>
    <col min="15365" max="15365" width="17" style="71" customWidth="1"/>
    <col min="15366" max="15366" width="14" style="71" customWidth="1"/>
    <col min="15367" max="15367" width="14.28515625" style="71" bestFit="1" customWidth="1"/>
    <col min="15368" max="15369" width="27.140625" style="71" customWidth="1"/>
    <col min="15370" max="15370" width="13.7109375" style="71" customWidth="1"/>
    <col min="15371" max="15371" width="16.28515625" style="71" customWidth="1"/>
    <col min="15372" max="15374" width="14.28515625" style="71" bestFit="1" customWidth="1"/>
    <col min="15375" max="15375" width="12.7109375" style="71" bestFit="1" customWidth="1"/>
    <col min="15376" max="15617" width="8.85546875" style="71"/>
    <col min="15618" max="15618" width="8.42578125" style="71" customWidth="1"/>
    <col min="15619" max="15619" width="32.5703125" style="71" customWidth="1"/>
    <col min="15620" max="15620" width="16.140625" style="71" bestFit="1" customWidth="1"/>
    <col min="15621" max="15621" width="17" style="71" customWidth="1"/>
    <col min="15622" max="15622" width="14" style="71" customWidth="1"/>
    <col min="15623" max="15623" width="14.28515625" style="71" bestFit="1" customWidth="1"/>
    <col min="15624" max="15625" width="27.140625" style="71" customWidth="1"/>
    <col min="15626" max="15626" width="13.7109375" style="71" customWidth="1"/>
    <col min="15627" max="15627" width="16.28515625" style="71" customWidth="1"/>
    <col min="15628" max="15630" width="14.28515625" style="71" bestFit="1" customWidth="1"/>
    <col min="15631" max="15631" width="12.7109375" style="71" bestFit="1" customWidth="1"/>
    <col min="15632" max="15873" width="8.85546875" style="71"/>
    <col min="15874" max="15874" width="8.42578125" style="71" customWidth="1"/>
    <col min="15875" max="15875" width="32.5703125" style="71" customWidth="1"/>
    <col min="15876" max="15876" width="16.140625" style="71" bestFit="1" customWidth="1"/>
    <col min="15877" max="15877" width="17" style="71" customWidth="1"/>
    <col min="15878" max="15878" width="14" style="71" customWidth="1"/>
    <col min="15879" max="15879" width="14.28515625" style="71" bestFit="1" customWidth="1"/>
    <col min="15880" max="15881" width="27.140625" style="71" customWidth="1"/>
    <col min="15882" max="15882" width="13.7109375" style="71" customWidth="1"/>
    <col min="15883" max="15883" width="16.28515625" style="71" customWidth="1"/>
    <col min="15884" max="15886" width="14.28515625" style="71" bestFit="1" customWidth="1"/>
    <col min="15887" max="15887" width="12.7109375" style="71" bestFit="1" customWidth="1"/>
    <col min="15888" max="16129" width="8.85546875" style="71"/>
    <col min="16130" max="16130" width="8.42578125" style="71" customWidth="1"/>
    <col min="16131" max="16131" width="32.5703125" style="71" customWidth="1"/>
    <col min="16132" max="16132" width="16.140625" style="71" bestFit="1" customWidth="1"/>
    <col min="16133" max="16133" width="17" style="71" customWidth="1"/>
    <col min="16134" max="16134" width="14" style="71" customWidth="1"/>
    <col min="16135" max="16135" width="14.28515625" style="71" bestFit="1" customWidth="1"/>
    <col min="16136" max="16137" width="27.140625" style="71" customWidth="1"/>
    <col min="16138" max="16138" width="13.7109375" style="71" customWidth="1"/>
    <col min="16139" max="16139" width="16.28515625" style="71" customWidth="1"/>
    <col min="16140" max="16142" width="14.28515625" style="71" bestFit="1" customWidth="1"/>
    <col min="16143" max="16143" width="12.7109375" style="71" bestFit="1" customWidth="1"/>
    <col min="16144" max="16384" width="8.85546875" style="71"/>
  </cols>
  <sheetData>
    <row r="1" spans="1:16" x14ac:dyDescent="0.25">
      <c r="A1" s="353" t="s">
        <v>383</v>
      </c>
      <c r="B1" s="353"/>
      <c r="C1" s="353"/>
      <c r="D1" s="353"/>
      <c r="E1" s="353"/>
      <c r="F1" s="353"/>
      <c r="G1" s="353"/>
      <c r="H1" s="353"/>
      <c r="I1" s="353"/>
      <c r="J1" s="70"/>
    </row>
    <row r="2" spans="1:16" x14ac:dyDescent="0.25">
      <c r="A2" s="353" t="s">
        <v>384</v>
      </c>
      <c r="B2" s="353"/>
      <c r="C2" s="353"/>
      <c r="D2" s="353"/>
      <c r="E2" s="353"/>
      <c r="F2" s="353"/>
      <c r="G2" s="353"/>
      <c r="H2" s="353"/>
      <c r="I2" s="353"/>
      <c r="J2" s="70"/>
    </row>
    <row r="3" spans="1:16" x14ac:dyDescent="0.25">
      <c r="A3" s="353" t="s">
        <v>490</v>
      </c>
      <c r="B3" s="353"/>
      <c r="C3" s="353"/>
      <c r="D3" s="353"/>
      <c r="E3" s="353"/>
      <c r="F3" s="353"/>
      <c r="G3" s="353"/>
      <c r="H3" s="353"/>
      <c r="I3" s="353"/>
      <c r="J3" s="70"/>
    </row>
    <row r="4" spans="1:16" x14ac:dyDescent="0.25">
      <c r="A4" s="353"/>
      <c r="B4" s="353"/>
      <c r="C4" s="353"/>
      <c r="D4" s="353"/>
      <c r="E4" s="353"/>
      <c r="F4" s="353"/>
      <c r="G4" s="353"/>
      <c r="H4" s="353"/>
      <c r="I4" s="353"/>
      <c r="J4" s="70"/>
    </row>
    <row r="5" spans="1:16" x14ac:dyDescent="0.25">
      <c r="A5" s="70"/>
      <c r="B5" s="70"/>
      <c r="C5" s="70"/>
      <c r="D5" s="70"/>
      <c r="E5" s="70"/>
      <c r="F5" s="72"/>
      <c r="G5" s="73"/>
      <c r="H5" s="73"/>
      <c r="I5" s="70"/>
      <c r="J5" s="70"/>
    </row>
    <row r="6" spans="1:16" ht="51" x14ac:dyDescent="0.25">
      <c r="A6" s="74" t="s">
        <v>385</v>
      </c>
      <c r="B6" s="75" t="s">
        <v>386</v>
      </c>
      <c r="C6" s="76" t="s">
        <v>387</v>
      </c>
      <c r="D6" s="76" t="s">
        <v>491</v>
      </c>
      <c r="E6" s="76" t="s">
        <v>388</v>
      </c>
      <c r="F6" s="76" t="s">
        <v>389</v>
      </c>
      <c r="G6" s="77" t="s">
        <v>390</v>
      </c>
      <c r="H6" s="77" t="s">
        <v>391</v>
      </c>
      <c r="I6" s="76" t="s">
        <v>392</v>
      </c>
      <c r="J6" s="74"/>
      <c r="K6" s="354" t="s">
        <v>417</v>
      </c>
      <c r="L6" s="355"/>
      <c r="M6" s="355"/>
      <c r="N6" s="355"/>
      <c r="O6" s="356"/>
    </row>
    <row r="7" spans="1:16" x14ac:dyDescent="0.25">
      <c r="A7" s="78">
        <v>1</v>
      </c>
      <c r="B7" s="79">
        <v>2</v>
      </c>
      <c r="C7" s="78">
        <v>3</v>
      </c>
      <c r="D7" s="78">
        <v>4</v>
      </c>
      <c r="E7" s="78">
        <v>5</v>
      </c>
      <c r="F7" s="78">
        <v>6</v>
      </c>
      <c r="G7" s="80">
        <v>7</v>
      </c>
      <c r="H7" s="80"/>
      <c r="I7" s="78">
        <v>9</v>
      </c>
      <c r="J7" s="78"/>
      <c r="K7" s="117">
        <v>1</v>
      </c>
      <c r="L7" s="117">
        <v>2</v>
      </c>
      <c r="M7" s="117">
        <v>3</v>
      </c>
      <c r="N7" s="117">
        <v>4</v>
      </c>
      <c r="O7" s="117" t="s">
        <v>418</v>
      </c>
    </row>
    <row r="8" spans="1:16" x14ac:dyDescent="0.25">
      <c r="A8" s="81"/>
      <c r="B8" s="357" t="s">
        <v>393</v>
      </c>
      <c r="C8" s="357"/>
      <c r="D8" s="357"/>
      <c r="E8" s="357"/>
      <c r="F8" s="357"/>
      <c r="G8" s="357"/>
      <c r="H8" s="357"/>
      <c r="I8" s="357"/>
      <c r="J8" s="82"/>
      <c r="K8" s="354"/>
      <c r="L8" s="355"/>
      <c r="M8" s="355"/>
      <c r="N8" s="355"/>
      <c r="O8" s="356"/>
    </row>
    <row r="9" spans="1:16" x14ac:dyDescent="0.25">
      <c r="A9" s="79">
        <v>1</v>
      </c>
      <c r="B9" s="83" t="s">
        <v>394</v>
      </c>
      <c r="C9" s="84">
        <v>1</v>
      </c>
      <c r="D9" s="84">
        <v>1</v>
      </c>
      <c r="E9" s="79"/>
      <c r="F9" s="79"/>
      <c r="G9" s="85">
        <f>G25*2.5</f>
        <v>20000</v>
      </c>
      <c r="H9" s="86">
        <v>100</v>
      </c>
      <c r="I9" s="79">
        <f>C9*G9*(1+H9/100)</f>
        <v>40000</v>
      </c>
      <c r="J9" s="79"/>
      <c r="K9" s="87">
        <f t="shared" ref="K9:N10" si="0">$I9*3</f>
        <v>120000</v>
      </c>
      <c r="L9" s="87">
        <f t="shared" si="0"/>
        <v>120000</v>
      </c>
      <c r="M9" s="87">
        <f t="shared" si="0"/>
        <v>120000</v>
      </c>
      <c r="N9" s="87">
        <f t="shared" si="0"/>
        <v>120000</v>
      </c>
      <c r="O9" s="117">
        <f>SUM(K9:N9)</f>
        <v>480000</v>
      </c>
      <c r="P9" s="71">
        <f>ROUND(O9/1000,1)</f>
        <v>480</v>
      </c>
    </row>
    <row r="10" spans="1:16" x14ac:dyDescent="0.25">
      <c r="A10" s="79">
        <v>2</v>
      </c>
      <c r="B10" s="89" t="s">
        <v>395</v>
      </c>
      <c r="C10" s="84">
        <v>1</v>
      </c>
      <c r="D10" s="84">
        <v>0.9</v>
      </c>
      <c r="E10" s="79"/>
      <c r="F10" s="79"/>
      <c r="G10" s="85">
        <f>ROUND($G$9*D10,-1)</f>
        <v>18000</v>
      </c>
      <c r="H10" s="86">
        <v>75</v>
      </c>
      <c r="I10" s="79">
        <f>C10*G10*(1+H10/100)</f>
        <v>31500</v>
      </c>
      <c r="J10" s="89"/>
      <c r="K10" s="87">
        <f t="shared" si="0"/>
        <v>94500</v>
      </c>
      <c r="L10" s="87">
        <f t="shared" si="0"/>
        <v>94500</v>
      </c>
      <c r="M10" s="87">
        <f t="shared" si="0"/>
        <v>94500</v>
      </c>
      <c r="N10" s="87">
        <f t="shared" si="0"/>
        <v>94500</v>
      </c>
      <c r="O10" s="117">
        <f t="shared" ref="O10:O36" si="1">SUM(K10:N10)</f>
        <v>378000</v>
      </c>
      <c r="P10" s="71">
        <f t="shared" ref="P10:P36" si="2">ROUND(O10/1000,1)</f>
        <v>378</v>
      </c>
    </row>
    <row r="11" spans="1:16" x14ac:dyDescent="0.25">
      <c r="A11" s="79">
        <v>3</v>
      </c>
      <c r="B11" s="89" t="s">
        <v>396</v>
      </c>
      <c r="C11" s="84">
        <v>1</v>
      </c>
      <c r="D11" s="84">
        <v>0.89</v>
      </c>
      <c r="E11" s="79"/>
      <c r="F11" s="79"/>
      <c r="G11" s="85">
        <f t="shared" ref="G11:G12" si="3">ROUND($G$9*D11,-1)</f>
        <v>17800</v>
      </c>
      <c r="H11" s="86">
        <v>50</v>
      </c>
      <c r="I11" s="79">
        <f>C11*G11*(1+H11/100)</f>
        <v>26700</v>
      </c>
      <c r="J11" s="89"/>
      <c r="K11" s="87">
        <f>$I11*3</f>
        <v>80100</v>
      </c>
      <c r="L11" s="87">
        <f>$I11*3</f>
        <v>80100</v>
      </c>
      <c r="M11" s="87">
        <f>$I11*3</f>
        <v>80100</v>
      </c>
      <c r="N11" s="87">
        <f t="shared" ref="L11:N13" si="4">$I11*3</f>
        <v>80100</v>
      </c>
      <c r="O11" s="117">
        <f t="shared" si="1"/>
        <v>320400</v>
      </c>
      <c r="P11" s="71">
        <f t="shared" si="2"/>
        <v>320.39999999999998</v>
      </c>
    </row>
    <row r="12" spans="1:16" x14ac:dyDescent="0.25">
      <c r="A12" s="79">
        <v>4</v>
      </c>
      <c r="B12" s="89" t="s">
        <v>397</v>
      </c>
      <c r="C12" s="84">
        <v>1</v>
      </c>
      <c r="D12" s="84">
        <v>0.89</v>
      </c>
      <c r="E12" s="79"/>
      <c r="F12" s="79"/>
      <c r="G12" s="85">
        <f t="shared" si="3"/>
        <v>17800</v>
      </c>
      <c r="H12" s="86">
        <v>50</v>
      </c>
      <c r="I12" s="79">
        <f>C12*G12*(1+H12/100)</f>
        <v>26700</v>
      </c>
      <c r="J12" s="89"/>
      <c r="K12" s="87">
        <f t="shared" ref="K12:K13" si="5">$I12*3</f>
        <v>80100</v>
      </c>
      <c r="L12" s="87">
        <f t="shared" si="4"/>
        <v>80100</v>
      </c>
      <c r="M12" s="87">
        <f t="shared" si="4"/>
        <v>80100</v>
      </c>
      <c r="N12" s="87">
        <f t="shared" si="4"/>
        <v>80100</v>
      </c>
      <c r="O12" s="117">
        <f t="shared" si="1"/>
        <v>320400</v>
      </c>
      <c r="P12" s="71">
        <f t="shared" si="2"/>
        <v>320.39999999999998</v>
      </c>
    </row>
    <row r="13" spans="1:16" x14ac:dyDescent="0.25">
      <c r="A13" s="79">
        <v>5</v>
      </c>
      <c r="B13" s="83" t="s">
        <v>398</v>
      </c>
      <c r="C13" s="84">
        <v>1</v>
      </c>
      <c r="D13" s="84">
        <v>1.8</v>
      </c>
      <c r="E13" s="79"/>
      <c r="F13" s="79"/>
      <c r="G13" s="90">
        <f>ROUND($G$25*D13,-1)</f>
        <v>14400</v>
      </c>
      <c r="H13" s="86">
        <v>50</v>
      </c>
      <c r="I13" s="79">
        <f>C13*G13*(1+H13/100)</f>
        <v>21600</v>
      </c>
      <c r="J13" s="89"/>
      <c r="K13" s="87">
        <f t="shared" si="5"/>
        <v>64800</v>
      </c>
      <c r="L13" s="87">
        <f t="shared" si="4"/>
        <v>64800</v>
      </c>
      <c r="M13" s="87">
        <f t="shared" si="4"/>
        <v>64800</v>
      </c>
      <c r="N13" s="87">
        <f t="shared" si="4"/>
        <v>64800</v>
      </c>
      <c r="O13" s="117">
        <f t="shared" si="1"/>
        <v>259200</v>
      </c>
      <c r="P13" s="71">
        <f t="shared" si="2"/>
        <v>259.2</v>
      </c>
    </row>
    <row r="14" spans="1:16" x14ac:dyDescent="0.25">
      <c r="A14" s="79"/>
      <c r="B14" s="91" t="s">
        <v>399</v>
      </c>
      <c r="C14" s="92">
        <f>SUM(C9:C13)</f>
        <v>5</v>
      </c>
      <c r="D14" s="82"/>
      <c r="E14" s="82"/>
      <c r="F14" s="82"/>
      <c r="G14" s="93"/>
      <c r="H14" s="93"/>
      <c r="I14" s="94">
        <f>SUM(I9:I13)</f>
        <v>146500</v>
      </c>
      <c r="K14" s="95">
        <f>SUM(K9:K13)</f>
        <v>439500</v>
      </c>
      <c r="L14" s="95">
        <f>SUM(L9:L13)</f>
        <v>439500</v>
      </c>
      <c r="M14" s="95">
        <f t="shared" ref="M14:N14" si="6">SUM(M9:M13)</f>
        <v>439500</v>
      </c>
      <c r="N14" s="95">
        <f t="shared" si="6"/>
        <v>439500</v>
      </c>
      <c r="O14" s="117">
        <f t="shared" si="1"/>
        <v>1758000</v>
      </c>
      <c r="P14" s="71">
        <f t="shared" si="2"/>
        <v>1758</v>
      </c>
    </row>
    <row r="15" spans="1:16" x14ac:dyDescent="0.25">
      <c r="A15" s="96"/>
      <c r="B15" s="353" t="s">
        <v>400</v>
      </c>
      <c r="C15" s="353"/>
      <c r="D15" s="353"/>
      <c r="E15" s="353"/>
      <c r="F15" s="353"/>
      <c r="G15" s="353"/>
      <c r="H15" s="353"/>
      <c r="I15" s="353"/>
      <c r="O15" s="117">
        <f t="shared" si="1"/>
        <v>0</v>
      </c>
      <c r="P15" s="71">
        <f t="shared" si="2"/>
        <v>0</v>
      </c>
    </row>
    <row r="16" spans="1:16" x14ac:dyDescent="0.25">
      <c r="A16" s="79">
        <v>1</v>
      </c>
      <c r="B16" s="83" t="s">
        <v>401</v>
      </c>
      <c r="C16" s="84">
        <v>1</v>
      </c>
      <c r="D16" s="84">
        <v>2.1</v>
      </c>
      <c r="E16" s="84"/>
      <c r="F16" s="84"/>
      <c r="G16" s="90">
        <f t="shared" ref="G16:G22" si="7">ROUND($G$25*D16,-1)</f>
        <v>16800</v>
      </c>
      <c r="H16" s="97">
        <v>50</v>
      </c>
      <c r="I16" s="79">
        <f t="shared" ref="I16:I22" si="8">C16*G16*(1+H16/100)</f>
        <v>25200</v>
      </c>
      <c r="J16" s="98">
        <f t="shared" ref="J16:J22" si="9">C16*12/12</f>
        <v>1</v>
      </c>
      <c r="K16" s="87">
        <f t="shared" ref="K16:N22" si="10">$I16*3</f>
        <v>75600</v>
      </c>
      <c r="L16" s="87">
        <f t="shared" si="10"/>
        <v>75600</v>
      </c>
      <c r="M16" s="87">
        <f t="shared" si="10"/>
        <v>75600</v>
      </c>
      <c r="N16" s="87">
        <f t="shared" si="10"/>
        <v>75600</v>
      </c>
      <c r="O16" s="117">
        <f t="shared" si="1"/>
        <v>302400</v>
      </c>
      <c r="P16" s="71">
        <f t="shared" si="2"/>
        <v>302.39999999999998</v>
      </c>
    </row>
    <row r="17" spans="1:16" x14ac:dyDescent="0.25">
      <c r="A17" s="79">
        <v>2</v>
      </c>
      <c r="B17" s="83" t="s">
        <v>402</v>
      </c>
      <c r="C17" s="84">
        <v>2</v>
      </c>
      <c r="D17" s="84">
        <v>1.95</v>
      </c>
      <c r="E17" s="84"/>
      <c r="F17" s="84"/>
      <c r="G17" s="90">
        <f t="shared" si="7"/>
        <v>15600</v>
      </c>
      <c r="H17" s="97">
        <v>50</v>
      </c>
      <c r="I17" s="79">
        <f t="shared" si="8"/>
        <v>46800</v>
      </c>
      <c r="J17" s="98">
        <f t="shared" si="9"/>
        <v>2</v>
      </c>
      <c r="K17" s="87">
        <f t="shared" si="10"/>
        <v>140400</v>
      </c>
      <c r="L17" s="87">
        <f t="shared" si="10"/>
        <v>140400</v>
      </c>
      <c r="M17" s="87">
        <f t="shared" si="10"/>
        <v>140400</v>
      </c>
      <c r="N17" s="87">
        <f t="shared" si="10"/>
        <v>140400</v>
      </c>
      <c r="O17" s="117">
        <f t="shared" si="1"/>
        <v>561600</v>
      </c>
      <c r="P17" s="71">
        <f t="shared" si="2"/>
        <v>561.6</v>
      </c>
    </row>
    <row r="18" spans="1:16" x14ac:dyDescent="0.25">
      <c r="A18" s="79">
        <v>3</v>
      </c>
      <c r="B18" s="83" t="s">
        <v>403</v>
      </c>
      <c r="C18" s="84">
        <v>1</v>
      </c>
      <c r="D18" s="84">
        <v>1.8</v>
      </c>
      <c r="E18" s="84"/>
      <c r="F18" s="84"/>
      <c r="G18" s="90">
        <f t="shared" si="7"/>
        <v>14400</v>
      </c>
      <c r="H18" s="97">
        <v>60</v>
      </c>
      <c r="I18" s="79">
        <f t="shared" si="8"/>
        <v>23040</v>
      </c>
      <c r="J18" s="98">
        <f t="shared" si="9"/>
        <v>1</v>
      </c>
      <c r="K18" s="87">
        <f t="shared" si="10"/>
        <v>69120</v>
      </c>
      <c r="L18" s="87">
        <f t="shared" si="10"/>
        <v>69120</v>
      </c>
      <c r="M18" s="87">
        <f t="shared" si="10"/>
        <v>69120</v>
      </c>
      <c r="N18" s="87">
        <f t="shared" si="10"/>
        <v>69120</v>
      </c>
      <c r="O18" s="117">
        <f t="shared" si="1"/>
        <v>276480</v>
      </c>
      <c r="P18" s="71">
        <f t="shared" si="2"/>
        <v>276.5</v>
      </c>
    </row>
    <row r="19" spans="1:16" x14ac:dyDescent="0.25">
      <c r="A19" s="79"/>
      <c r="B19" s="83" t="s">
        <v>403</v>
      </c>
      <c r="C19" s="84">
        <v>0.5</v>
      </c>
      <c r="D19" s="84">
        <v>1.8</v>
      </c>
      <c r="E19" s="84"/>
      <c r="F19" s="84"/>
      <c r="G19" s="90">
        <f t="shared" si="7"/>
        <v>14400</v>
      </c>
      <c r="H19" s="97">
        <v>30</v>
      </c>
      <c r="I19" s="79">
        <f t="shared" si="8"/>
        <v>9360</v>
      </c>
      <c r="J19" s="98">
        <f t="shared" si="9"/>
        <v>0.5</v>
      </c>
      <c r="K19" s="87">
        <f t="shared" si="10"/>
        <v>28080</v>
      </c>
      <c r="L19" s="87">
        <f t="shared" si="10"/>
        <v>28080</v>
      </c>
      <c r="M19" s="87">
        <f t="shared" si="10"/>
        <v>28080</v>
      </c>
      <c r="N19" s="87">
        <f t="shared" si="10"/>
        <v>28080</v>
      </c>
      <c r="O19" s="117">
        <f t="shared" si="1"/>
        <v>112320</v>
      </c>
      <c r="P19" s="71">
        <f t="shared" si="2"/>
        <v>112.3</v>
      </c>
    </row>
    <row r="20" spans="1:16" x14ac:dyDescent="0.25">
      <c r="A20" s="79"/>
      <c r="B20" s="83" t="s">
        <v>403</v>
      </c>
      <c r="C20" s="84">
        <v>0.5</v>
      </c>
      <c r="D20" s="84">
        <v>1.8</v>
      </c>
      <c r="E20" s="84"/>
      <c r="F20" s="99"/>
      <c r="G20" s="90">
        <f t="shared" si="7"/>
        <v>14400</v>
      </c>
      <c r="H20" s="97">
        <v>10</v>
      </c>
      <c r="I20" s="79">
        <f t="shared" si="8"/>
        <v>7920.0000000000009</v>
      </c>
      <c r="J20" s="98">
        <f t="shared" si="9"/>
        <v>0.5</v>
      </c>
      <c r="K20" s="87">
        <f t="shared" si="10"/>
        <v>23760.000000000004</v>
      </c>
      <c r="L20" s="87">
        <f t="shared" si="10"/>
        <v>23760.000000000004</v>
      </c>
      <c r="M20" s="87">
        <f t="shared" si="10"/>
        <v>23760.000000000004</v>
      </c>
      <c r="N20" s="87">
        <f t="shared" si="10"/>
        <v>23760.000000000004</v>
      </c>
      <c r="O20" s="117">
        <f t="shared" si="1"/>
        <v>95040.000000000015</v>
      </c>
      <c r="P20" s="71">
        <f t="shared" si="2"/>
        <v>95</v>
      </c>
    </row>
    <row r="21" spans="1:16" x14ac:dyDescent="0.25">
      <c r="A21" s="79">
        <v>4</v>
      </c>
      <c r="B21" s="83" t="s">
        <v>404</v>
      </c>
      <c r="C21" s="100">
        <v>1</v>
      </c>
      <c r="D21" s="84">
        <v>1.7</v>
      </c>
      <c r="E21" s="84"/>
      <c r="F21" s="99"/>
      <c r="G21" s="90">
        <f t="shared" si="7"/>
        <v>13600</v>
      </c>
      <c r="H21" s="97">
        <v>100</v>
      </c>
      <c r="I21" s="79">
        <f t="shared" si="8"/>
        <v>27200</v>
      </c>
      <c r="J21" s="98">
        <f t="shared" si="9"/>
        <v>1</v>
      </c>
      <c r="K21" s="87">
        <f t="shared" si="10"/>
        <v>81600</v>
      </c>
      <c r="L21" s="87">
        <f t="shared" si="10"/>
        <v>81600</v>
      </c>
      <c r="M21" s="87">
        <f t="shared" si="10"/>
        <v>81600</v>
      </c>
      <c r="N21" s="87">
        <f t="shared" si="10"/>
        <v>81600</v>
      </c>
      <c r="O21" s="117">
        <f t="shared" si="1"/>
        <v>326400</v>
      </c>
      <c r="P21" s="71">
        <f t="shared" si="2"/>
        <v>326.39999999999998</v>
      </c>
    </row>
    <row r="22" spans="1:16" x14ac:dyDescent="0.25">
      <c r="A22" s="79">
        <v>5</v>
      </c>
      <c r="B22" s="83" t="s">
        <v>405</v>
      </c>
      <c r="C22" s="84">
        <v>1</v>
      </c>
      <c r="D22" s="84">
        <v>1.7</v>
      </c>
      <c r="E22" s="84"/>
      <c r="F22" s="99"/>
      <c r="G22" s="90">
        <f t="shared" si="7"/>
        <v>13600</v>
      </c>
      <c r="H22" s="97">
        <v>30</v>
      </c>
      <c r="I22" s="79">
        <f t="shared" si="8"/>
        <v>17680</v>
      </c>
      <c r="J22" s="98">
        <f t="shared" si="9"/>
        <v>1</v>
      </c>
      <c r="K22" s="87">
        <f t="shared" si="10"/>
        <v>53040</v>
      </c>
      <c r="L22" s="87">
        <f t="shared" si="10"/>
        <v>53040</v>
      </c>
      <c r="M22" s="87">
        <f t="shared" si="10"/>
        <v>53040</v>
      </c>
      <c r="N22" s="87">
        <f t="shared" si="10"/>
        <v>53040</v>
      </c>
      <c r="O22" s="117">
        <f t="shared" si="1"/>
        <v>212160</v>
      </c>
      <c r="P22" s="71">
        <f t="shared" si="2"/>
        <v>212.2</v>
      </c>
    </row>
    <row r="23" spans="1:16" x14ac:dyDescent="0.25">
      <c r="A23" s="79"/>
      <c r="B23" s="91" t="s">
        <v>399</v>
      </c>
      <c r="C23" s="92">
        <f>SUM(C16:C22)</f>
        <v>7</v>
      </c>
      <c r="D23" s="101"/>
      <c r="E23" s="102"/>
      <c r="F23" s="92"/>
      <c r="G23" s="97"/>
      <c r="H23" s="97"/>
      <c r="I23" s="94">
        <f>SUM(I16:I22)</f>
        <v>157200</v>
      </c>
      <c r="J23" s="103">
        <f>SUM(J16:J22)</f>
        <v>7</v>
      </c>
      <c r="K23" s="95">
        <f>SUM(K16:K22)</f>
        <v>471600</v>
      </c>
      <c r="L23" s="95">
        <f t="shared" ref="L23:N23" si="11">SUM(L16:L22)</f>
        <v>471600</v>
      </c>
      <c r="M23" s="95">
        <f t="shared" si="11"/>
        <v>471600</v>
      </c>
      <c r="N23" s="95">
        <f t="shared" si="11"/>
        <v>471600</v>
      </c>
      <c r="O23" s="117">
        <f t="shared" si="1"/>
        <v>1886400</v>
      </c>
      <c r="P23" s="71">
        <f t="shared" si="2"/>
        <v>1886.4</v>
      </c>
    </row>
    <row r="24" spans="1:16" x14ac:dyDescent="0.25">
      <c r="A24" s="96"/>
      <c r="B24" s="353" t="s">
        <v>406</v>
      </c>
      <c r="C24" s="353"/>
      <c r="D24" s="353"/>
      <c r="E24" s="353"/>
      <c r="F24" s="353"/>
      <c r="G24" s="353"/>
      <c r="H24" s="353"/>
      <c r="I24" s="353"/>
      <c r="J24" s="104">
        <v>173.33</v>
      </c>
      <c r="O24" s="117">
        <f t="shared" si="1"/>
        <v>0</v>
      </c>
      <c r="P24" s="71">
        <f t="shared" si="2"/>
        <v>0</v>
      </c>
    </row>
    <row r="25" spans="1:16" x14ac:dyDescent="0.25">
      <c r="A25" s="79">
        <v>1</v>
      </c>
      <c r="B25" s="83" t="s">
        <v>407</v>
      </c>
      <c r="C25" s="84">
        <v>29</v>
      </c>
      <c r="D25" s="84">
        <v>8162</v>
      </c>
      <c r="E25" s="84">
        <v>1</v>
      </c>
      <c r="F25" s="105">
        <v>36.19</v>
      </c>
      <c r="G25" s="105">
        <v>8000</v>
      </c>
      <c r="H25" s="84">
        <v>15</v>
      </c>
      <c r="I25" s="79">
        <f t="shared" ref="I25:I36" si="12">C25*G25*(1+H25/100)</f>
        <v>266800</v>
      </c>
      <c r="J25" s="78">
        <f>C25*6/12</f>
        <v>14.5</v>
      </c>
      <c r="K25" s="87">
        <f>$I25*3</f>
        <v>800400</v>
      </c>
      <c r="L25" s="87">
        <f>$I25*0.5</f>
        <v>133400</v>
      </c>
      <c r="M25" s="87">
        <f>$I25*0</f>
        <v>0</v>
      </c>
      <c r="N25" s="87">
        <f>$I25*2.5</f>
        <v>667000</v>
      </c>
      <c r="O25" s="117">
        <f t="shared" si="1"/>
        <v>1600800</v>
      </c>
      <c r="P25" s="71">
        <f t="shared" si="2"/>
        <v>1600.8</v>
      </c>
    </row>
    <row r="26" spans="1:16" x14ac:dyDescent="0.25">
      <c r="A26" s="79">
        <v>2</v>
      </c>
      <c r="B26" s="83" t="s">
        <v>407</v>
      </c>
      <c r="C26" s="84">
        <v>9</v>
      </c>
      <c r="D26" s="84">
        <v>8162</v>
      </c>
      <c r="E26" s="84">
        <v>2</v>
      </c>
      <c r="F26" s="106">
        <v>47.84</v>
      </c>
      <c r="G26" s="105">
        <v>8000</v>
      </c>
      <c r="H26" s="84">
        <v>50</v>
      </c>
      <c r="I26" s="79">
        <f t="shared" si="12"/>
        <v>108000</v>
      </c>
      <c r="J26" s="78">
        <f>C26*6/12</f>
        <v>4.5</v>
      </c>
      <c r="K26" s="87">
        <f>$I26*3</f>
        <v>324000</v>
      </c>
      <c r="L26" s="87">
        <f>$I26*0.5</f>
        <v>54000</v>
      </c>
      <c r="M26" s="87">
        <f>$I26*0</f>
        <v>0</v>
      </c>
      <c r="N26" s="87">
        <f>$I26*2.5</f>
        <v>270000</v>
      </c>
      <c r="O26" s="117">
        <f t="shared" si="1"/>
        <v>648000</v>
      </c>
      <c r="P26" s="71">
        <f t="shared" si="2"/>
        <v>648</v>
      </c>
    </row>
    <row r="27" spans="1:16" x14ac:dyDescent="0.25">
      <c r="A27" s="79">
        <v>3</v>
      </c>
      <c r="B27" s="108" t="s">
        <v>510</v>
      </c>
      <c r="C27" s="84">
        <v>1</v>
      </c>
      <c r="D27" s="84">
        <v>3119</v>
      </c>
      <c r="E27" s="84">
        <v>4</v>
      </c>
      <c r="F27" s="84">
        <v>61.63</v>
      </c>
      <c r="G27" s="84">
        <f>ROUND(F27*J24,0)</f>
        <v>10682</v>
      </c>
      <c r="H27" s="84"/>
      <c r="I27" s="79">
        <f t="shared" ref="I27" si="13">C27*G27*(1+H27/100)</f>
        <v>10682</v>
      </c>
      <c r="J27" s="78">
        <f>C27*6/12</f>
        <v>0.5</v>
      </c>
      <c r="K27" s="87">
        <f>$I27*3</f>
        <v>32046</v>
      </c>
      <c r="L27" s="87">
        <f>$I27*0.5</f>
        <v>5341</v>
      </c>
      <c r="M27" s="87">
        <f>$I27*0</f>
        <v>0</v>
      </c>
      <c r="N27" s="87">
        <f>$I27*2.5</f>
        <v>26705</v>
      </c>
      <c r="O27" s="117">
        <f t="shared" ref="O27" si="14">SUM(K27:N27)</f>
        <v>64092</v>
      </c>
      <c r="P27" s="71">
        <f t="shared" ref="P27" si="15">ROUND(O27/1000,1)</f>
        <v>64.099999999999994</v>
      </c>
    </row>
    <row r="28" spans="1:16" x14ac:dyDescent="0.25">
      <c r="A28" s="79">
        <v>3</v>
      </c>
      <c r="B28" s="108" t="s">
        <v>408</v>
      </c>
      <c r="C28" s="84">
        <v>0.5</v>
      </c>
      <c r="D28" s="84">
        <v>7241</v>
      </c>
      <c r="E28" s="84">
        <v>5</v>
      </c>
      <c r="F28" s="84">
        <v>71.97</v>
      </c>
      <c r="G28" s="84">
        <f>ROUND(F28*J24,0)</f>
        <v>12475</v>
      </c>
      <c r="H28" s="84"/>
      <c r="I28" s="79">
        <f t="shared" si="12"/>
        <v>6237.5</v>
      </c>
      <c r="J28" s="78">
        <f>C28*6/12</f>
        <v>0.25</v>
      </c>
      <c r="K28" s="87">
        <f>$I28*3</f>
        <v>18712.5</v>
      </c>
      <c r="L28" s="87">
        <f>$I28*0.5</f>
        <v>3118.75</v>
      </c>
      <c r="M28" s="87">
        <f>$I28*0</f>
        <v>0</v>
      </c>
      <c r="N28" s="87">
        <f>$I28*2.5</f>
        <v>15593.75</v>
      </c>
      <c r="O28" s="117">
        <f t="shared" si="1"/>
        <v>37425</v>
      </c>
      <c r="P28" s="71">
        <f t="shared" si="2"/>
        <v>37.4</v>
      </c>
    </row>
    <row r="29" spans="1:16" ht="28.5" x14ac:dyDescent="0.25">
      <c r="A29" s="79">
        <v>4</v>
      </c>
      <c r="B29" s="108" t="s">
        <v>409</v>
      </c>
      <c r="C29" s="84">
        <v>1</v>
      </c>
      <c r="D29" s="84">
        <v>7233</v>
      </c>
      <c r="E29" s="84">
        <v>5</v>
      </c>
      <c r="F29" s="84">
        <v>71.97</v>
      </c>
      <c r="G29" s="110">
        <f>ROUND(F29*166.17,0)</f>
        <v>11959</v>
      </c>
      <c r="H29" s="84"/>
      <c r="I29" s="79">
        <f t="shared" si="12"/>
        <v>11959</v>
      </c>
      <c r="J29" s="98">
        <f t="shared" ref="J29:J36" si="16">C29*12/12</f>
        <v>1</v>
      </c>
      <c r="K29" s="87">
        <f t="shared" ref="K29:N36" si="17">$I29*3</f>
        <v>35877</v>
      </c>
      <c r="L29" s="87">
        <f t="shared" si="17"/>
        <v>35877</v>
      </c>
      <c r="M29" s="87">
        <f t="shared" si="17"/>
        <v>35877</v>
      </c>
      <c r="N29" s="87">
        <f t="shared" si="17"/>
        <v>35877</v>
      </c>
      <c r="O29" s="117">
        <f t="shared" si="1"/>
        <v>143508</v>
      </c>
      <c r="P29" s="71">
        <f t="shared" si="2"/>
        <v>143.5</v>
      </c>
    </row>
    <row r="30" spans="1:16" ht="42.75" x14ac:dyDescent="0.25">
      <c r="A30" s="79">
        <v>5</v>
      </c>
      <c r="B30" s="108" t="s">
        <v>410</v>
      </c>
      <c r="C30" s="84">
        <v>0</v>
      </c>
      <c r="D30" s="84">
        <v>7233</v>
      </c>
      <c r="E30" s="84">
        <v>5</v>
      </c>
      <c r="F30" s="84">
        <v>71.97</v>
      </c>
      <c r="G30" s="110">
        <f>ROUND(F30*166.17,0)</f>
        <v>11959</v>
      </c>
      <c r="H30" s="84">
        <v>86</v>
      </c>
      <c r="I30" s="79">
        <f t="shared" si="12"/>
        <v>0</v>
      </c>
      <c r="J30" s="98">
        <f t="shared" si="16"/>
        <v>0</v>
      </c>
      <c r="K30" s="87">
        <f t="shared" si="17"/>
        <v>0</v>
      </c>
      <c r="L30" s="87">
        <f t="shared" si="17"/>
        <v>0</v>
      </c>
      <c r="M30" s="87">
        <f t="shared" si="17"/>
        <v>0</v>
      </c>
      <c r="N30" s="87">
        <f t="shared" si="17"/>
        <v>0</v>
      </c>
      <c r="O30" s="117">
        <f t="shared" si="1"/>
        <v>0</v>
      </c>
      <c r="P30" s="71">
        <f t="shared" si="2"/>
        <v>0</v>
      </c>
    </row>
    <row r="31" spans="1:16" ht="42.75" x14ac:dyDescent="0.25">
      <c r="A31" s="79">
        <v>6</v>
      </c>
      <c r="B31" s="108" t="s">
        <v>410</v>
      </c>
      <c r="C31" s="80">
        <v>1</v>
      </c>
      <c r="D31" s="84">
        <v>7233</v>
      </c>
      <c r="E31" s="84">
        <v>6</v>
      </c>
      <c r="F31" s="109">
        <v>86.19</v>
      </c>
      <c r="G31" s="110">
        <f>ROUND(F31*166.17,0)</f>
        <v>14322</v>
      </c>
      <c r="H31" s="84"/>
      <c r="I31" s="79">
        <f t="shared" si="12"/>
        <v>14322</v>
      </c>
      <c r="J31" s="98">
        <f t="shared" si="16"/>
        <v>1</v>
      </c>
      <c r="K31" s="87">
        <f t="shared" si="17"/>
        <v>42966</v>
      </c>
      <c r="L31" s="87">
        <f t="shared" si="17"/>
        <v>42966</v>
      </c>
      <c r="M31" s="87">
        <f t="shared" si="17"/>
        <v>42966</v>
      </c>
      <c r="N31" s="87">
        <f t="shared" si="17"/>
        <v>42966</v>
      </c>
      <c r="O31" s="117">
        <f t="shared" si="1"/>
        <v>171864</v>
      </c>
      <c r="P31" s="71">
        <f t="shared" si="2"/>
        <v>171.9</v>
      </c>
    </row>
    <row r="32" spans="1:16" x14ac:dyDescent="0.25">
      <c r="A32" s="79">
        <v>7</v>
      </c>
      <c r="B32" s="108" t="s">
        <v>411</v>
      </c>
      <c r="C32" s="84">
        <v>1</v>
      </c>
      <c r="D32" s="84">
        <v>7212</v>
      </c>
      <c r="E32" s="84">
        <v>6</v>
      </c>
      <c r="F32" s="109">
        <v>86.19</v>
      </c>
      <c r="G32" s="110">
        <f>ROUND(F32*166.17,0)</f>
        <v>14322</v>
      </c>
      <c r="H32" s="84">
        <v>17</v>
      </c>
      <c r="I32" s="79">
        <f t="shared" si="12"/>
        <v>16756.739999999998</v>
      </c>
      <c r="J32" s="98">
        <f t="shared" si="16"/>
        <v>1</v>
      </c>
      <c r="K32" s="87">
        <f t="shared" si="17"/>
        <v>50270.219999999994</v>
      </c>
      <c r="L32" s="87">
        <f t="shared" si="17"/>
        <v>50270.219999999994</v>
      </c>
      <c r="M32" s="87">
        <f t="shared" si="17"/>
        <v>50270.219999999994</v>
      </c>
      <c r="N32" s="87">
        <f t="shared" si="17"/>
        <v>50270.219999999994</v>
      </c>
      <c r="O32" s="117">
        <f t="shared" si="1"/>
        <v>201080.87999999998</v>
      </c>
      <c r="P32" s="71">
        <f t="shared" si="2"/>
        <v>201.1</v>
      </c>
    </row>
    <row r="33" spans="1:16" ht="42.75" x14ac:dyDescent="0.25">
      <c r="A33" s="79">
        <v>8</v>
      </c>
      <c r="B33" s="108" t="s">
        <v>511</v>
      </c>
      <c r="C33" s="84">
        <v>0</v>
      </c>
      <c r="D33" s="84">
        <v>7241</v>
      </c>
      <c r="E33" s="84">
        <v>4</v>
      </c>
      <c r="F33" s="109">
        <v>61.63</v>
      </c>
      <c r="G33" s="110">
        <f>ROUND(F33*J24,0)</f>
        <v>10682</v>
      </c>
      <c r="H33" s="84">
        <v>30</v>
      </c>
      <c r="I33" s="79">
        <f t="shared" ref="I33" si="18">C33*G33*(1+H33/100)</f>
        <v>0</v>
      </c>
      <c r="J33" s="98">
        <f t="shared" ref="J33" si="19">C33*12/12</f>
        <v>0</v>
      </c>
      <c r="K33" s="87">
        <f t="shared" si="17"/>
        <v>0</v>
      </c>
      <c r="L33" s="87">
        <f>$I33*3</f>
        <v>0</v>
      </c>
      <c r="M33" s="87">
        <f t="shared" si="17"/>
        <v>0</v>
      </c>
      <c r="N33" s="87">
        <f t="shared" si="17"/>
        <v>0</v>
      </c>
      <c r="O33" s="117">
        <f t="shared" ref="O33" si="20">SUM(K33:N33)</f>
        <v>0</v>
      </c>
      <c r="P33" s="71">
        <f t="shared" ref="P33" si="21">ROUND(O33/1000,1)</f>
        <v>0</v>
      </c>
    </row>
    <row r="34" spans="1:16" ht="28.5" x14ac:dyDescent="0.25">
      <c r="A34" s="79">
        <v>8</v>
      </c>
      <c r="B34" s="108" t="s">
        <v>412</v>
      </c>
      <c r="C34" s="84">
        <v>1</v>
      </c>
      <c r="D34" s="84">
        <v>8211</v>
      </c>
      <c r="E34" s="84">
        <v>4</v>
      </c>
      <c r="F34" s="109">
        <v>61.63</v>
      </c>
      <c r="G34" s="110">
        <f>ROUND(F34*J24,0)</f>
        <v>10682</v>
      </c>
      <c r="H34" s="84">
        <v>30</v>
      </c>
      <c r="I34" s="79">
        <f t="shared" si="12"/>
        <v>13886.6</v>
      </c>
      <c r="J34" s="98">
        <f t="shared" si="16"/>
        <v>1</v>
      </c>
      <c r="K34" s="87">
        <f t="shared" si="17"/>
        <v>41659.800000000003</v>
      </c>
      <c r="L34" s="87">
        <f t="shared" si="17"/>
        <v>41659.800000000003</v>
      </c>
      <c r="M34" s="87">
        <f t="shared" si="17"/>
        <v>41659.800000000003</v>
      </c>
      <c r="N34" s="87">
        <f t="shared" si="17"/>
        <v>41659.800000000003</v>
      </c>
      <c r="O34" s="117">
        <f t="shared" si="1"/>
        <v>166639.20000000001</v>
      </c>
      <c r="P34" s="71">
        <f t="shared" si="2"/>
        <v>166.6</v>
      </c>
    </row>
    <row r="35" spans="1:16" x14ac:dyDescent="0.25">
      <c r="A35" s="79">
        <v>9</v>
      </c>
      <c r="B35" s="111" t="s">
        <v>413</v>
      </c>
      <c r="C35" s="97">
        <v>1.5</v>
      </c>
      <c r="D35" s="97">
        <v>8322</v>
      </c>
      <c r="E35" s="97">
        <v>1</v>
      </c>
      <c r="F35" s="97">
        <v>52.51</v>
      </c>
      <c r="G35" s="110">
        <f>ROUND(F35*J24,0)</f>
        <v>9102</v>
      </c>
      <c r="H35" s="84">
        <v>130</v>
      </c>
      <c r="I35" s="79">
        <f t="shared" si="12"/>
        <v>31401.899999999998</v>
      </c>
      <c r="J35" s="98">
        <f t="shared" si="16"/>
        <v>1.5</v>
      </c>
      <c r="K35" s="87">
        <f t="shared" si="17"/>
        <v>94205.7</v>
      </c>
      <c r="L35" s="87">
        <f t="shared" si="17"/>
        <v>94205.7</v>
      </c>
      <c r="M35" s="87">
        <f t="shared" si="17"/>
        <v>94205.7</v>
      </c>
      <c r="N35" s="87">
        <f t="shared" si="17"/>
        <v>94205.7</v>
      </c>
      <c r="O35" s="117">
        <f t="shared" si="1"/>
        <v>376822.8</v>
      </c>
      <c r="P35" s="71">
        <f t="shared" si="2"/>
        <v>376.8</v>
      </c>
    </row>
    <row r="36" spans="1:16" ht="28.5" x14ac:dyDescent="0.25">
      <c r="A36" s="79">
        <v>10</v>
      </c>
      <c r="B36" s="108" t="s">
        <v>414</v>
      </c>
      <c r="C36" s="97">
        <v>1</v>
      </c>
      <c r="D36" s="97">
        <v>9132</v>
      </c>
      <c r="E36" s="97"/>
      <c r="F36" s="97"/>
      <c r="G36" s="110">
        <v>8000</v>
      </c>
      <c r="H36" s="84"/>
      <c r="I36" s="79">
        <f t="shared" si="12"/>
        <v>8000</v>
      </c>
      <c r="J36" s="98">
        <f t="shared" si="16"/>
        <v>1</v>
      </c>
      <c r="K36" s="87">
        <f t="shared" si="17"/>
        <v>24000</v>
      </c>
      <c r="L36" s="87">
        <f t="shared" si="17"/>
        <v>24000</v>
      </c>
      <c r="M36" s="87">
        <f t="shared" si="17"/>
        <v>24000</v>
      </c>
      <c r="N36" s="87">
        <f t="shared" si="17"/>
        <v>24000</v>
      </c>
      <c r="O36" s="117">
        <f t="shared" si="1"/>
        <v>96000</v>
      </c>
      <c r="P36" s="71">
        <f t="shared" si="2"/>
        <v>96</v>
      </c>
    </row>
    <row r="37" spans="1:16" x14ac:dyDescent="0.25">
      <c r="A37" s="79"/>
      <c r="B37" s="91" t="s">
        <v>399</v>
      </c>
      <c r="C37" s="92">
        <f>SUM(C25:C36)</f>
        <v>46</v>
      </c>
      <c r="D37" s="94"/>
      <c r="E37" s="94"/>
      <c r="F37" s="94"/>
      <c r="G37" s="93"/>
      <c r="H37" s="93"/>
      <c r="I37" s="94">
        <f>SUM(I25:I36)</f>
        <v>488045.74</v>
      </c>
      <c r="J37" s="94">
        <f>SUM(J25:J36)</f>
        <v>26.25</v>
      </c>
      <c r="K37" s="95">
        <f>SUM(K25:K36)</f>
        <v>1464137.22</v>
      </c>
      <c r="L37" s="95">
        <f t="shared" ref="L37:N37" si="22">SUM(L25:L36)</f>
        <v>484838.47</v>
      </c>
      <c r="M37" s="95">
        <f t="shared" si="22"/>
        <v>288978.72000000003</v>
      </c>
      <c r="N37" s="95">
        <f t="shared" si="22"/>
        <v>1268277.47</v>
      </c>
      <c r="O37" s="117">
        <f>SUM(K37:N37)</f>
        <v>3506231.88</v>
      </c>
      <c r="P37" s="71">
        <f>ROUND(O37/1000,1)</f>
        <v>3506.2</v>
      </c>
    </row>
    <row r="38" spans="1:16" x14ac:dyDescent="0.25">
      <c r="A38" s="79"/>
      <c r="B38" s="91" t="s">
        <v>415</v>
      </c>
      <c r="C38" s="92">
        <f>C14+C23+C37</f>
        <v>58</v>
      </c>
      <c r="D38" s="94"/>
      <c r="E38" s="107"/>
      <c r="F38" s="107"/>
      <c r="G38" s="112"/>
      <c r="H38" s="112"/>
      <c r="I38" s="94">
        <f>I14+I23+I37</f>
        <v>791745.74</v>
      </c>
      <c r="J38" s="94"/>
      <c r="O38" s="117">
        <f>O37+O23+O14</f>
        <v>7150631.8799999999</v>
      </c>
      <c r="P38" s="71">
        <f>ROUND(O38/1000,1)</f>
        <v>7150.6</v>
      </c>
    </row>
    <row r="40" spans="1:16" x14ac:dyDescent="0.25">
      <c r="F40" s="114">
        <v>1</v>
      </c>
      <c r="G40" s="115">
        <v>2</v>
      </c>
      <c r="H40" s="115">
        <v>3</v>
      </c>
      <c r="I40" s="71">
        <v>4</v>
      </c>
      <c r="J40" s="117" t="s">
        <v>418</v>
      </c>
    </row>
    <row r="41" spans="1:16" x14ac:dyDescent="0.25">
      <c r="E41" s="71" t="s">
        <v>114</v>
      </c>
      <c r="F41" s="114"/>
      <c r="G41" s="115"/>
      <c r="H41" s="115"/>
      <c r="J41" s="117"/>
    </row>
    <row r="42" spans="1:16" x14ac:dyDescent="0.25">
      <c r="B42" s="114">
        <v>92</v>
      </c>
      <c r="C42" s="88"/>
      <c r="E42" s="114">
        <v>92</v>
      </c>
      <c r="F42" s="87">
        <f>K14/1000</f>
        <v>439.5</v>
      </c>
      <c r="G42" s="87">
        <f>L14/1000</f>
        <v>439.5</v>
      </c>
      <c r="H42" s="87">
        <f>M14/1000</f>
        <v>439.5</v>
      </c>
      <c r="I42" s="87">
        <f>N14/1000</f>
        <v>439.5</v>
      </c>
      <c r="J42" s="71">
        <f>SUM(F41:I42)</f>
        <v>1758</v>
      </c>
    </row>
    <row r="43" spans="1:16" x14ac:dyDescent="0.25">
      <c r="B43" s="116" t="s">
        <v>416</v>
      </c>
      <c r="C43" s="88"/>
      <c r="E43" s="116" t="s">
        <v>416</v>
      </c>
      <c r="F43" s="117">
        <f>(K23+K37)/1000</f>
        <v>1935.73722</v>
      </c>
      <c r="G43" s="117">
        <f>(L23+L37)/1000</f>
        <v>956.43846999999994</v>
      </c>
      <c r="H43" s="117">
        <f t="shared" ref="H43:I43" si="23">(M23+M37)/1000</f>
        <v>760.57871999999998</v>
      </c>
      <c r="I43" s="117">
        <f t="shared" si="23"/>
        <v>1739.8774699999999</v>
      </c>
      <c r="J43" s="88">
        <f>SUM(F43:I43)</f>
        <v>5392.6318799999999</v>
      </c>
    </row>
    <row r="44" spans="1:16" x14ac:dyDescent="0.25">
      <c r="B44" s="114"/>
      <c r="J44" s="88">
        <f>J42+J43</f>
        <v>7150.6318799999999</v>
      </c>
    </row>
  </sheetData>
  <mergeCells count="9">
    <mergeCell ref="B24:I24"/>
    <mergeCell ref="K6:O6"/>
    <mergeCell ref="K8:O8"/>
    <mergeCell ref="A1:I1"/>
    <mergeCell ref="A2:I2"/>
    <mergeCell ref="A3:I3"/>
    <mergeCell ref="A4:I4"/>
    <mergeCell ref="B8:I8"/>
    <mergeCell ref="B15:I15"/>
  </mergeCells>
  <pageMargins left="0.7" right="0.7" top="0.75" bottom="0.75" header="0.3" footer="0.3"/>
  <pageSetup paperSize="9" scale="50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4"/>
  <sheetViews>
    <sheetView zoomScale="120" zoomScaleNormal="120" workbookViewId="0">
      <selection activeCell="A4" sqref="A4:F4"/>
    </sheetView>
  </sheetViews>
  <sheetFormatPr defaultRowHeight="15" x14ac:dyDescent="0.25"/>
  <cols>
    <col min="1" max="1" width="41.42578125" style="257" customWidth="1"/>
    <col min="2" max="2" width="14.7109375" style="258" bestFit="1" customWidth="1"/>
    <col min="3" max="4" width="11.85546875" style="258" customWidth="1"/>
    <col min="5" max="5" width="10.7109375" style="258" customWidth="1"/>
    <col min="6" max="6" width="9.140625" style="256"/>
    <col min="7" max="16384" width="9.140625" style="240"/>
  </cols>
  <sheetData>
    <row r="1" spans="1:8" ht="15.75" x14ac:dyDescent="0.25">
      <c r="A1" s="276" t="s">
        <v>505</v>
      </c>
      <c r="B1" s="277"/>
      <c r="C1" s="277"/>
      <c r="D1" s="277"/>
      <c r="E1" s="277"/>
      <c r="F1" s="278"/>
      <c r="G1" s="233"/>
      <c r="H1" s="233"/>
    </row>
    <row r="2" spans="1:8" s="241" customFormat="1" ht="63.75" x14ac:dyDescent="0.25">
      <c r="A2" s="231" t="s">
        <v>22</v>
      </c>
      <c r="B2" s="231" t="s">
        <v>24</v>
      </c>
      <c r="C2" s="230" t="s">
        <v>25</v>
      </c>
      <c r="D2" s="232" t="s">
        <v>506</v>
      </c>
      <c r="E2" s="229" t="s">
        <v>499</v>
      </c>
      <c r="F2" s="238" t="s">
        <v>347</v>
      </c>
    </row>
    <row r="3" spans="1:8" s="242" customFormat="1" ht="25.5" x14ac:dyDescent="0.25">
      <c r="A3" s="234" t="s">
        <v>500</v>
      </c>
      <c r="B3" s="235">
        <v>2022</v>
      </c>
      <c r="C3" s="236">
        <v>2023</v>
      </c>
      <c r="D3" s="236" t="s">
        <v>507</v>
      </c>
      <c r="E3" s="237">
        <v>2024</v>
      </c>
      <c r="F3" s="239" t="s">
        <v>501</v>
      </c>
    </row>
    <row r="4" spans="1:8" s="243" customFormat="1" ht="14.25" x14ac:dyDescent="0.25">
      <c r="A4" s="359" t="s">
        <v>21</v>
      </c>
      <c r="B4" s="359"/>
      <c r="C4" s="359"/>
      <c r="D4" s="359"/>
      <c r="E4" s="359"/>
      <c r="F4" s="359"/>
    </row>
    <row r="5" spans="1:8" s="247" customFormat="1" ht="14.25" x14ac:dyDescent="0.25">
      <c r="A5" s="244" t="s">
        <v>493</v>
      </c>
      <c r="B5" s="245">
        <v>9038.5000000000018</v>
      </c>
      <c r="C5" s="245">
        <v>18421.8</v>
      </c>
      <c r="D5" s="245">
        <v>8239.4</v>
      </c>
      <c r="E5" s="245">
        <v>24790.163950000002</v>
      </c>
      <c r="F5" s="246">
        <f>E5/B5*100</f>
        <v>274.27298722133094</v>
      </c>
    </row>
    <row r="6" spans="1:8" ht="30" x14ac:dyDescent="0.25">
      <c r="A6" s="248" t="s">
        <v>494</v>
      </c>
      <c r="B6" s="249">
        <v>8405.3000000000011</v>
      </c>
      <c r="C6" s="249">
        <v>18421.8</v>
      </c>
      <c r="D6" s="249">
        <v>6213</v>
      </c>
      <c r="E6" s="249">
        <v>24790.163950000002</v>
      </c>
      <c r="F6" s="250">
        <f t="shared" ref="F6:F43" si="0">E6/B6*100</f>
        <v>294.93490952137341</v>
      </c>
    </row>
    <row r="7" spans="1:8" x14ac:dyDescent="0.25">
      <c r="A7" s="248" t="s">
        <v>492</v>
      </c>
      <c r="B7" s="249">
        <v>2.2999999999999998</v>
      </c>
      <c r="C7" s="249">
        <v>4.8</v>
      </c>
      <c r="D7" s="249">
        <v>1.6</v>
      </c>
      <c r="E7" s="249">
        <v>6.5</v>
      </c>
      <c r="F7" s="250">
        <f t="shared" si="0"/>
        <v>282.60869565217394</v>
      </c>
    </row>
    <row r="8" spans="1:8" x14ac:dyDescent="0.25">
      <c r="A8" s="248" t="s">
        <v>502</v>
      </c>
      <c r="B8" s="249">
        <v>105.5</v>
      </c>
      <c r="C8" s="249">
        <v>141.19999999999999</v>
      </c>
      <c r="D8" s="249">
        <v>2026.4</v>
      </c>
      <c r="E8" s="249">
        <v>120.8</v>
      </c>
      <c r="F8" s="250">
        <f t="shared" si="0"/>
        <v>114.50236966824644</v>
      </c>
    </row>
    <row r="9" spans="1:8" s="247" customFormat="1" ht="14.25" x14ac:dyDescent="0.25">
      <c r="A9" s="244" t="s">
        <v>213</v>
      </c>
      <c r="B9" s="245">
        <v>9086.9000000000015</v>
      </c>
      <c r="C9" s="245">
        <v>18421.499999999996</v>
      </c>
      <c r="D9" s="245">
        <v>9420.9</v>
      </c>
      <c r="E9" s="245">
        <v>24774.738609687603</v>
      </c>
      <c r="F9" s="246">
        <f t="shared" si="0"/>
        <v>272.642359987318</v>
      </c>
    </row>
    <row r="10" spans="1:8" x14ac:dyDescent="0.25">
      <c r="A10" s="248" t="s">
        <v>223</v>
      </c>
      <c r="B10" s="249">
        <v>5336.3</v>
      </c>
      <c r="C10" s="249">
        <v>10984.6</v>
      </c>
      <c r="D10" s="249">
        <v>5371.3</v>
      </c>
      <c r="E10" s="249">
        <v>15058.5288604876</v>
      </c>
      <c r="F10" s="250">
        <f t="shared" si="0"/>
        <v>282.19044769761069</v>
      </c>
    </row>
    <row r="11" spans="1:8" ht="30" x14ac:dyDescent="0.25">
      <c r="A11" s="259" t="s">
        <v>224</v>
      </c>
      <c r="B11" s="249">
        <v>75</v>
      </c>
      <c r="C11" s="249">
        <v>175.9</v>
      </c>
      <c r="D11" s="249">
        <v>289.89999999999998</v>
      </c>
      <c r="E11" s="249">
        <v>201.40549999999999</v>
      </c>
      <c r="F11" s="250">
        <f t="shared" si="0"/>
        <v>268.54066666666665</v>
      </c>
    </row>
    <row r="12" spans="1:8" x14ac:dyDescent="0.25">
      <c r="A12" s="259" t="s">
        <v>503</v>
      </c>
      <c r="B12" s="249">
        <v>4932.5</v>
      </c>
      <c r="C12" s="249">
        <v>10233.1</v>
      </c>
      <c r="D12" s="249">
        <v>4852.7</v>
      </c>
      <c r="E12" s="249">
        <v>13929.2419212276</v>
      </c>
      <c r="F12" s="250">
        <f t="shared" si="0"/>
        <v>282.39720063309886</v>
      </c>
    </row>
    <row r="13" spans="1:8" x14ac:dyDescent="0.25">
      <c r="A13" s="259" t="s">
        <v>504</v>
      </c>
      <c r="B13" s="249">
        <v>328.8</v>
      </c>
      <c r="C13" s="249">
        <v>575.6</v>
      </c>
      <c r="D13" s="249">
        <v>228.7</v>
      </c>
      <c r="E13" s="249">
        <v>927.88143925999998</v>
      </c>
      <c r="F13" s="250">
        <f t="shared" si="0"/>
        <v>282.20238420316298</v>
      </c>
    </row>
    <row r="14" spans="1:8" x14ac:dyDescent="0.25">
      <c r="A14" s="248" t="s">
        <v>117</v>
      </c>
      <c r="B14" s="249">
        <v>2685.1</v>
      </c>
      <c r="C14" s="249">
        <v>5684.7999999999993</v>
      </c>
      <c r="D14" s="249">
        <v>2891.6</v>
      </c>
      <c r="E14" s="249">
        <v>7022.5233599999992</v>
      </c>
      <c r="F14" s="250">
        <f t="shared" si="0"/>
        <v>261.53675319354954</v>
      </c>
    </row>
    <row r="15" spans="1:8" x14ac:dyDescent="0.25">
      <c r="A15" s="248" t="s">
        <v>495</v>
      </c>
      <c r="B15" s="249">
        <v>578.70000000000005</v>
      </c>
      <c r="C15" s="249">
        <v>1250.5999999999999</v>
      </c>
      <c r="D15" s="249">
        <v>631.4</v>
      </c>
      <c r="E15" s="249">
        <v>1544.9551392000001</v>
      </c>
      <c r="F15" s="250">
        <f t="shared" si="0"/>
        <v>266.96995666148263</v>
      </c>
    </row>
    <row r="16" spans="1:8" x14ac:dyDescent="0.25">
      <c r="A16" s="248" t="s">
        <v>226</v>
      </c>
      <c r="B16" s="249">
        <v>237.5</v>
      </c>
      <c r="C16" s="249">
        <v>168.4</v>
      </c>
      <c r="D16" s="249">
        <v>357.9</v>
      </c>
      <c r="E16" s="249">
        <v>456</v>
      </c>
      <c r="F16" s="250">
        <f t="shared" si="0"/>
        <v>192</v>
      </c>
    </row>
    <row r="17" spans="1:6" x14ac:dyDescent="0.25">
      <c r="A17" s="248" t="s">
        <v>41</v>
      </c>
      <c r="B17" s="249">
        <v>239.9</v>
      </c>
      <c r="C17" s="249">
        <v>333.1</v>
      </c>
      <c r="D17" s="249">
        <v>168.7</v>
      </c>
      <c r="E17" s="249">
        <v>692.73125000000005</v>
      </c>
      <c r="F17" s="250">
        <f t="shared" si="0"/>
        <v>288.75833680700293</v>
      </c>
    </row>
    <row r="18" spans="1:6" s="247" customFormat="1" ht="14.25" x14ac:dyDescent="0.25">
      <c r="A18" s="244" t="s">
        <v>57</v>
      </c>
      <c r="B18" s="245">
        <v>-48.399999999999636</v>
      </c>
      <c r="C18" s="245">
        <v>27.2</v>
      </c>
      <c r="D18" s="245">
        <v>-1019.1</v>
      </c>
      <c r="E18" s="245">
        <v>12.648779056166244</v>
      </c>
      <c r="F18" s="246">
        <v>0</v>
      </c>
    </row>
    <row r="19" spans="1:6" s="247" customFormat="1" ht="14.25" x14ac:dyDescent="0.25">
      <c r="A19" s="244" t="s">
        <v>76</v>
      </c>
      <c r="B19" s="251">
        <v>56086.2</v>
      </c>
      <c r="C19" s="251">
        <v>50000</v>
      </c>
      <c r="D19" s="252"/>
      <c r="E19" s="251">
        <v>0</v>
      </c>
      <c r="F19" s="246">
        <v>0</v>
      </c>
    </row>
    <row r="20" spans="1:6" s="247" customFormat="1" ht="14.25" x14ac:dyDescent="0.25">
      <c r="A20" s="358" t="s">
        <v>496</v>
      </c>
      <c r="B20" s="358"/>
      <c r="C20" s="358"/>
      <c r="D20" s="358"/>
      <c r="E20" s="358"/>
      <c r="F20" s="358"/>
    </row>
    <row r="21" spans="1:6" s="247" customFormat="1" ht="28.5" x14ac:dyDescent="0.25">
      <c r="A21" s="244" t="s">
        <v>497</v>
      </c>
      <c r="B21" s="251">
        <v>17</v>
      </c>
      <c r="C21" s="251">
        <v>38</v>
      </c>
      <c r="D21" s="252">
        <v>54</v>
      </c>
      <c r="E21" s="251">
        <v>63</v>
      </c>
      <c r="F21" s="246">
        <f t="shared" si="0"/>
        <v>370.58823529411768</v>
      </c>
    </row>
    <row r="22" spans="1:6" x14ac:dyDescent="0.25">
      <c r="A22" s="248" t="s">
        <v>114</v>
      </c>
      <c r="B22" s="253">
        <v>1</v>
      </c>
      <c r="C22" s="253">
        <v>1</v>
      </c>
      <c r="D22" s="253">
        <v>1</v>
      </c>
      <c r="E22" s="253">
        <v>1</v>
      </c>
      <c r="F22" s="250">
        <f t="shared" si="0"/>
        <v>100</v>
      </c>
    </row>
    <row r="23" spans="1:6" x14ac:dyDescent="0.25">
      <c r="A23" s="248" t="s">
        <v>115</v>
      </c>
      <c r="B23" s="253">
        <v>2</v>
      </c>
      <c r="C23" s="253">
        <v>3</v>
      </c>
      <c r="D23" s="253">
        <v>10</v>
      </c>
      <c r="E23" s="253">
        <v>12</v>
      </c>
      <c r="F23" s="250">
        <f t="shared" si="0"/>
        <v>600</v>
      </c>
    </row>
    <row r="24" spans="1:6" x14ac:dyDescent="0.25">
      <c r="A24" s="248" t="s">
        <v>116</v>
      </c>
      <c r="B24" s="253">
        <v>14</v>
      </c>
      <c r="C24" s="253">
        <v>34</v>
      </c>
      <c r="D24" s="253">
        <v>43</v>
      </c>
      <c r="E24" s="253">
        <v>50</v>
      </c>
      <c r="F24" s="250">
        <f t="shared" si="0"/>
        <v>357.14285714285717</v>
      </c>
    </row>
    <row r="25" spans="1:6" s="247" customFormat="1" ht="28.5" x14ac:dyDescent="0.25">
      <c r="A25" s="244" t="s">
        <v>350</v>
      </c>
      <c r="B25" s="251">
        <v>2685.1</v>
      </c>
      <c r="C25" s="251">
        <v>5684.7999999999993</v>
      </c>
      <c r="D25" s="252">
        <f>D26+D27+D28</f>
        <v>2891.6</v>
      </c>
      <c r="E25" s="251">
        <v>7022.5</v>
      </c>
      <c r="F25" s="246">
        <f t="shared" si="0"/>
        <v>261.53588320732933</v>
      </c>
    </row>
    <row r="26" spans="1:6" x14ac:dyDescent="0.25">
      <c r="A26" s="248" t="s">
        <v>114</v>
      </c>
      <c r="B26" s="253">
        <v>291.3</v>
      </c>
      <c r="C26" s="253">
        <v>447.3</v>
      </c>
      <c r="D26" s="253">
        <v>238.6</v>
      </c>
      <c r="E26" s="253">
        <v>284.39999999999998</v>
      </c>
      <c r="F26" s="250">
        <f t="shared" si="0"/>
        <v>97.631307929969097</v>
      </c>
    </row>
    <row r="27" spans="1:6" x14ac:dyDescent="0.25">
      <c r="A27" s="248" t="s">
        <v>115</v>
      </c>
      <c r="B27" s="253">
        <v>372.3</v>
      </c>
      <c r="C27" s="253">
        <v>738.3</v>
      </c>
      <c r="D27" s="253">
        <v>545.9</v>
      </c>
      <c r="E27" s="253">
        <v>1391</v>
      </c>
      <c r="F27" s="250">
        <f t="shared" si="0"/>
        <v>373.62342197152833</v>
      </c>
    </row>
    <row r="28" spans="1:6" x14ac:dyDescent="0.25">
      <c r="A28" s="248" t="s">
        <v>116</v>
      </c>
      <c r="B28" s="253">
        <v>2021.5</v>
      </c>
      <c r="C28" s="253">
        <v>4499.2</v>
      </c>
      <c r="D28" s="253">
        <v>2107.1</v>
      </c>
      <c r="E28" s="253">
        <v>5347.1</v>
      </c>
      <c r="F28" s="250">
        <f t="shared" si="0"/>
        <v>264.51150136037597</v>
      </c>
    </row>
    <row r="29" spans="1:6" s="247" customFormat="1" ht="42.75" x14ac:dyDescent="0.25">
      <c r="A29" s="244" t="s">
        <v>351</v>
      </c>
      <c r="B29" s="251">
        <v>13162.254901960785</v>
      </c>
      <c r="C29" s="251">
        <v>12466.666666666664</v>
      </c>
      <c r="D29" s="252">
        <f>D25/D21/6*1000</f>
        <v>8924.6913580246892</v>
      </c>
      <c r="E29" s="251">
        <v>9289.0211640211637</v>
      </c>
      <c r="F29" s="246">
        <f t="shared" si="0"/>
        <v>70.573174833723783</v>
      </c>
    </row>
    <row r="30" spans="1:6" x14ac:dyDescent="0.25">
      <c r="A30" s="248" t="s">
        <v>352</v>
      </c>
      <c r="B30" s="253">
        <v>24275</v>
      </c>
      <c r="C30" s="253">
        <v>37275</v>
      </c>
      <c r="D30" s="260">
        <f>D26/D22/6*1000</f>
        <v>39766.666666666664</v>
      </c>
      <c r="E30" s="253">
        <v>23700</v>
      </c>
      <c r="F30" s="250">
        <f t="shared" si="0"/>
        <v>97.631307929969097</v>
      </c>
    </row>
    <row r="31" spans="1:6" ht="14.25" hidden="1" customHeight="1" x14ac:dyDescent="0.25">
      <c r="A31" s="248" t="s">
        <v>353</v>
      </c>
      <c r="B31" s="253">
        <v>14910</v>
      </c>
      <c r="C31" s="253">
        <v>14910</v>
      </c>
      <c r="D31" s="253">
        <v>14910</v>
      </c>
      <c r="E31" s="253">
        <v>14910</v>
      </c>
      <c r="F31" s="250">
        <f t="shared" si="0"/>
        <v>100</v>
      </c>
    </row>
    <row r="32" spans="1:6" hidden="1" x14ac:dyDescent="0.25">
      <c r="A32" s="248" t="s">
        <v>354</v>
      </c>
      <c r="B32" s="253">
        <v>0</v>
      </c>
      <c r="C32" s="253">
        <v>0</v>
      </c>
      <c r="D32" s="253">
        <v>0</v>
      </c>
      <c r="E32" s="253">
        <v>0</v>
      </c>
      <c r="F32" s="250">
        <v>0</v>
      </c>
    </row>
    <row r="33" spans="1:6" hidden="1" x14ac:dyDescent="0.25">
      <c r="A33" s="248" t="s">
        <v>355</v>
      </c>
      <c r="B33" s="253">
        <v>9365</v>
      </c>
      <c r="C33" s="253">
        <v>22365</v>
      </c>
      <c r="D33" s="253">
        <f>D30-D31</f>
        <v>24856.666666666664</v>
      </c>
      <c r="E33" s="253">
        <v>8790</v>
      </c>
      <c r="F33" s="250">
        <f t="shared" si="0"/>
        <v>93.860117458622526</v>
      </c>
    </row>
    <row r="34" spans="1:6" x14ac:dyDescent="0.25">
      <c r="A34" s="248" t="s">
        <v>121</v>
      </c>
      <c r="B34" s="253">
        <v>15512.500000000002</v>
      </c>
      <c r="C34" s="253">
        <v>20508.333333333332</v>
      </c>
      <c r="D34" s="253">
        <f>D27/D23/6*1000</f>
        <v>9098.3333333333321</v>
      </c>
      <c r="E34" s="253">
        <v>9659.7222222222226</v>
      </c>
      <c r="F34" s="250">
        <f t="shared" si="0"/>
        <v>62.27057032858805</v>
      </c>
    </row>
    <row r="35" spans="1:6" x14ac:dyDescent="0.25">
      <c r="A35" s="248" t="s">
        <v>122</v>
      </c>
      <c r="B35" s="253">
        <v>12032.738095238097</v>
      </c>
      <c r="C35" s="253">
        <v>11027.450980392157</v>
      </c>
      <c r="D35" s="253">
        <f>D28/D24/6*1000</f>
        <v>8167.0542635658912</v>
      </c>
      <c r="E35" s="253">
        <v>8911.8333333333339</v>
      </c>
      <c r="F35" s="250">
        <f t="shared" si="0"/>
        <v>74.063220380905264</v>
      </c>
    </row>
    <row r="36" spans="1:6" s="247" customFormat="1" ht="14.25" x14ac:dyDescent="0.25">
      <c r="A36" s="358" t="s">
        <v>498</v>
      </c>
      <c r="B36" s="358"/>
      <c r="C36" s="358"/>
      <c r="D36" s="358"/>
      <c r="E36" s="358"/>
      <c r="F36" s="358"/>
    </row>
    <row r="37" spans="1:6" s="247" customFormat="1" ht="57" x14ac:dyDescent="0.25">
      <c r="A37" s="244" t="s">
        <v>61</v>
      </c>
      <c r="B37" s="251">
        <v>335.5</v>
      </c>
      <c r="C37" s="251">
        <v>1622.2</v>
      </c>
      <c r="D37" s="252">
        <v>52.3</v>
      </c>
      <c r="E37" s="251">
        <v>112.61441165623222</v>
      </c>
      <c r="F37" s="246">
        <f t="shared" si="0"/>
        <v>33.56614356370558</v>
      </c>
    </row>
    <row r="38" spans="1:6" x14ac:dyDescent="0.25">
      <c r="A38" s="248" t="s">
        <v>62</v>
      </c>
      <c r="B38" s="253">
        <v>0</v>
      </c>
      <c r="C38" s="253">
        <v>6</v>
      </c>
      <c r="D38" s="253">
        <v>0</v>
      </c>
      <c r="E38" s="253">
        <v>2.7765612562322319</v>
      </c>
      <c r="F38" s="250">
        <v>0</v>
      </c>
    </row>
    <row r="39" spans="1:6" ht="45" x14ac:dyDescent="0.25">
      <c r="A39" s="248" t="s">
        <v>63</v>
      </c>
      <c r="B39" s="253">
        <v>293.5</v>
      </c>
      <c r="C39" s="253">
        <v>1526.4</v>
      </c>
      <c r="D39" s="253">
        <v>0</v>
      </c>
      <c r="E39" s="253">
        <v>0</v>
      </c>
      <c r="F39" s="250">
        <f t="shared" si="0"/>
        <v>0</v>
      </c>
    </row>
    <row r="40" spans="1:6" s="247" customFormat="1" ht="28.5" x14ac:dyDescent="0.25">
      <c r="A40" s="244" t="s">
        <v>69</v>
      </c>
      <c r="B40" s="251">
        <v>457.8</v>
      </c>
      <c r="C40" s="251">
        <v>1188.5999999999999</v>
      </c>
      <c r="D40" s="252">
        <v>527.79999999999995</v>
      </c>
      <c r="E40" s="251">
        <v>1628.2339554805978</v>
      </c>
      <c r="F40" s="246">
        <f t="shared" si="0"/>
        <v>355.66490945404058</v>
      </c>
    </row>
    <row r="41" spans="1:6" s="247" customFormat="1" ht="28.5" x14ac:dyDescent="0.25">
      <c r="A41" s="244" t="s">
        <v>248</v>
      </c>
      <c r="B41" s="251">
        <v>578.70000000000005</v>
      </c>
      <c r="C41" s="251">
        <v>1250.5999999999999</v>
      </c>
      <c r="D41" s="252">
        <v>680.2</v>
      </c>
      <c r="E41" s="251">
        <v>1544.9551392000003</v>
      </c>
      <c r="F41" s="246">
        <f t="shared" si="0"/>
        <v>266.96995666148268</v>
      </c>
    </row>
    <row r="42" spans="1:6" ht="30" x14ac:dyDescent="0.25">
      <c r="A42" s="248" t="s">
        <v>71</v>
      </c>
      <c r="B42" s="253">
        <v>578.70000000000005</v>
      </c>
      <c r="C42" s="253">
        <v>1250.5999999999999</v>
      </c>
      <c r="D42" s="253">
        <v>680.2</v>
      </c>
      <c r="E42" s="253">
        <v>1544.9551392000003</v>
      </c>
      <c r="F42" s="250">
        <f t="shared" si="0"/>
        <v>266.96995666148268</v>
      </c>
    </row>
    <row r="43" spans="1:6" s="247" customFormat="1" ht="14.25" x14ac:dyDescent="0.25">
      <c r="A43" s="244" t="s">
        <v>72</v>
      </c>
      <c r="B43" s="251">
        <v>1372</v>
      </c>
      <c r="C43" s="251">
        <v>4061.3999999999996</v>
      </c>
      <c r="D43" s="252">
        <f>D37+D40+D41</f>
        <v>1260.3</v>
      </c>
      <c r="E43" s="251">
        <v>3285.8035063368302</v>
      </c>
      <c r="F43" s="246">
        <f t="shared" si="0"/>
        <v>239.49005148227624</v>
      </c>
    </row>
    <row r="44" spans="1:6" x14ac:dyDescent="0.25">
      <c r="A44" s="254"/>
      <c r="B44" s="255"/>
      <c r="C44" s="255"/>
      <c r="D44" s="255"/>
      <c r="E44" s="255"/>
    </row>
  </sheetData>
  <mergeCells count="4">
    <mergeCell ref="A36:F36"/>
    <mergeCell ref="A20:F20"/>
    <mergeCell ref="A4:F4"/>
    <mergeCell ref="A1:F1"/>
  </mergeCells>
  <pageMargins left="0.70866141732283461" right="0.70866141732283461" top="0.74803149606299213" bottom="0.74803149606299213" header="0.31496062992125984" footer="0.31496062992125984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1485"/>
  <sheetViews>
    <sheetView topLeftCell="A43" zoomScale="120" zoomScaleNormal="120" workbookViewId="0">
      <selection activeCell="A2" sqref="A2:J3"/>
    </sheetView>
  </sheetViews>
  <sheetFormatPr defaultRowHeight="15.75" x14ac:dyDescent="0.25"/>
  <cols>
    <col min="1" max="1" width="35" style="13" customWidth="1"/>
    <col min="2" max="2" width="8.5703125" style="14" customWidth="1"/>
    <col min="3" max="3" width="13.85546875" style="13" bestFit="1" customWidth="1"/>
    <col min="4" max="5" width="12" style="124" customWidth="1"/>
    <col min="6" max="6" width="13.42578125" style="199" bestFit="1" customWidth="1"/>
    <col min="7" max="7" width="13" style="199" bestFit="1" customWidth="1"/>
    <col min="8" max="10" width="9.28515625" style="199" bestFit="1" customWidth="1"/>
    <col min="11" max="11" width="9.28515625" style="15" bestFit="1" customWidth="1"/>
    <col min="12" max="12" width="9.42578125" style="15" bestFit="1" customWidth="1"/>
    <col min="13" max="16384" width="9.140625" style="15"/>
  </cols>
  <sheetData>
    <row r="1" spans="1:129" x14ac:dyDescent="0.25">
      <c r="A1" s="272" t="s">
        <v>20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29" x14ac:dyDescent="0.25">
      <c r="A2" s="272" t="s">
        <v>517</v>
      </c>
      <c r="B2" s="272"/>
      <c r="C2" s="272"/>
      <c r="D2" s="272"/>
      <c r="E2" s="272"/>
      <c r="F2" s="272"/>
      <c r="G2" s="272"/>
      <c r="H2" s="272"/>
      <c r="I2" s="272"/>
      <c r="J2" s="272"/>
    </row>
    <row r="3" spans="1:129" x14ac:dyDescent="0.25">
      <c r="A3" s="272"/>
      <c r="B3" s="272"/>
      <c r="C3" s="272"/>
      <c r="D3" s="272"/>
      <c r="E3" s="272"/>
      <c r="F3" s="272"/>
      <c r="G3" s="272"/>
      <c r="H3" s="272"/>
      <c r="I3" s="272"/>
      <c r="J3" s="272"/>
    </row>
    <row r="4" spans="1:129" ht="34.5" customHeight="1" x14ac:dyDescent="0.25">
      <c r="A4" s="272" t="s">
        <v>21</v>
      </c>
      <c r="B4" s="272"/>
      <c r="C4" s="272"/>
      <c r="D4" s="272"/>
      <c r="E4" s="272"/>
      <c r="F4" s="272"/>
      <c r="G4" s="272"/>
      <c r="H4" s="272"/>
      <c r="I4" s="272"/>
      <c r="J4" s="272"/>
    </row>
    <row r="5" spans="1:129" ht="76.5" customHeight="1" x14ac:dyDescent="0.25">
      <c r="A5" s="270" t="s">
        <v>22</v>
      </c>
      <c r="B5" s="275" t="s">
        <v>23</v>
      </c>
      <c r="C5" s="270" t="s">
        <v>486</v>
      </c>
      <c r="D5" s="274" t="s">
        <v>487</v>
      </c>
      <c r="E5" s="274" t="s">
        <v>488</v>
      </c>
      <c r="F5" s="273" t="s">
        <v>27</v>
      </c>
      <c r="G5" s="273" t="s">
        <v>28</v>
      </c>
      <c r="H5" s="273"/>
      <c r="I5" s="273"/>
      <c r="J5" s="273"/>
    </row>
    <row r="6" spans="1:129" ht="47.25" x14ac:dyDescent="0.25">
      <c r="A6" s="270"/>
      <c r="B6" s="275"/>
      <c r="C6" s="270"/>
      <c r="D6" s="274"/>
      <c r="E6" s="274"/>
      <c r="F6" s="273"/>
      <c r="G6" s="193" t="s">
        <v>29</v>
      </c>
      <c r="H6" s="193" t="s">
        <v>30</v>
      </c>
      <c r="I6" s="193" t="s">
        <v>31</v>
      </c>
      <c r="J6" s="193" t="s">
        <v>32</v>
      </c>
    </row>
    <row r="7" spans="1:129" s="40" customFormat="1" x14ac:dyDescent="0.25">
      <c r="A7" s="36">
        <v>1</v>
      </c>
      <c r="B7" s="36">
        <v>2</v>
      </c>
      <c r="C7" s="36">
        <v>3</v>
      </c>
      <c r="D7" s="123">
        <v>4</v>
      </c>
      <c r="E7" s="123">
        <v>5</v>
      </c>
      <c r="F7" s="194">
        <v>6</v>
      </c>
      <c r="G7" s="194">
        <v>7</v>
      </c>
      <c r="H7" s="194">
        <v>8</v>
      </c>
      <c r="I7" s="194">
        <v>9</v>
      </c>
      <c r="J7" s="194">
        <v>10</v>
      </c>
    </row>
    <row r="8" spans="1:129" ht="25.5" customHeight="1" x14ac:dyDescent="0.25">
      <c r="A8" s="271" t="s">
        <v>33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29" ht="31.5" x14ac:dyDescent="0.25">
      <c r="A9" s="12" t="s">
        <v>34</v>
      </c>
      <c r="B9" s="17">
        <v>1000</v>
      </c>
      <c r="C9" s="131">
        <f>'формування фін результатів'!C6</f>
        <v>12940.8</v>
      </c>
      <c r="D9" s="131">
        <f>'формування фін результатів'!D6</f>
        <v>24814.9</v>
      </c>
      <c r="E9" s="131">
        <f>'формування фін результатів'!E6</f>
        <v>24814.9</v>
      </c>
      <c r="F9" s="193">
        <f>'формування фін результатів'!F6</f>
        <v>19126.902200000004</v>
      </c>
      <c r="G9" s="193" t="s">
        <v>0</v>
      </c>
      <c r="H9" s="193" t="s">
        <v>0</v>
      </c>
      <c r="I9" s="193" t="s">
        <v>0</v>
      </c>
      <c r="J9" s="193" t="s">
        <v>0</v>
      </c>
    </row>
    <row r="10" spans="1:129" ht="31.5" x14ac:dyDescent="0.25">
      <c r="A10" s="12" t="s">
        <v>35</v>
      </c>
      <c r="B10" s="17">
        <v>1010</v>
      </c>
      <c r="C10" s="16">
        <f>'формування фін результатів'!C7</f>
        <v>16318.699999999997</v>
      </c>
      <c r="D10" s="131">
        <f>'формування фін результатів'!D7</f>
        <v>22498.799999999999</v>
      </c>
      <c r="E10" s="131">
        <f>'формування фін результатів'!E7</f>
        <v>22498.799999999999</v>
      </c>
      <c r="F10" s="193">
        <f>'формування фін результатів'!F7</f>
        <v>23894.091368827601</v>
      </c>
      <c r="G10" s="193" t="s">
        <v>0</v>
      </c>
      <c r="H10" s="193" t="s">
        <v>0</v>
      </c>
      <c r="I10" s="193" t="s">
        <v>0</v>
      </c>
      <c r="J10" s="193" t="s">
        <v>0</v>
      </c>
    </row>
    <row r="11" spans="1:129" s="128" customFormat="1" x14ac:dyDescent="0.25">
      <c r="A11" s="125" t="s">
        <v>36</v>
      </c>
      <c r="B11" s="126">
        <v>1020</v>
      </c>
      <c r="C11" s="119">
        <f>'формування фін результатів'!C16</f>
        <v>-3377.8999999999978</v>
      </c>
      <c r="D11" s="119">
        <f>'формування фін результатів'!D16</f>
        <v>2316.1000000000022</v>
      </c>
      <c r="E11" s="131">
        <f>'формування фін результатів'!E8</f>
        <v>201.4</v>
      </c>
      <c r="F11" s="195">
        <f>'формування фін результатів'!F16</f>
        <v>-4767.1891688275973</v>
      </c>
      <c r="G11" s="195" t="s">
        <v>37</v>
      </c>
      <c r="H11" s="195" t="s">
        <v>37</v>
      </c>
      <c r="I11" s="195" t="s">
        <v>37</v>
      </c>
      <c r="J11" s="195" t="s">
        <v>37</v>
      </c>
    </row>
    <row r="12" spans="1:129" x14ac:dyDescent="0.25">
      <c r="A12" s="12" t="s">
        <v>38</v>
      </c>
      <c r="B12" s="17">
        <v>1030</v>
      </c>
      <c r="C12" s="16">
        <f>'формування фін результатів'!C17</f>
        <v>1671.3</v>
      </c>
      <c r="D12" s="131">
        <f>'формування фін результатів'!D17</f>
        <v>2239.7000000000003</v>
      </c>
      <c r="E12" s="131">
        <f>'формування фін результатів'!E9</f>
        <v>13929.2</v>
      </c>
      <c r="F12" s="193">
        <f>'формування фін результатів'!F17</f>
        <v>2355.1427000000003</v>
      </c>
      <c r="G12" s="193" t="s">
        <v>0</v>
      </c>
      <c r="H12" s="193" t="s">
        <v>0</v>
      </c>
      <c r="I12" s="193" t="s">
        <v>0</v>
      </c>
      <c r="J12" s="193" t="s">
        <v>0</v>
      </c>
    </row>
    <row r="13" spans="1:129" x14ac:dyDescent="0.25">
      <c r="A13" s="12" t="s">
        <v>39</v>
      </c>
      <c r="B13" s="17">
        <v>1060</v>
      </c>
      <c r="C13" s="16">
        <f>'формування фін результатів'!C40</f>
        <v>0</v>
      </c>
      <c r="D13" s="131">
        <f>'формування фін результатів'!D40</f>
        <v>0</v>
      </c>
      <c r="E13" s="131">
        <f>'формування фін результатів'!E10</f>
        <v>927.9</v>
      </c>
      <c r="F13" s="193">
        <f>'формування фін результатів'!F40</f>
        <v>0</v>
      </c>
      <c r="G13" s="193" t="s">
        <v>0</v>
      </c>
      <c r="H13" s="193" t="s">
        <v>0</v>
      </c>
      <c r="I13" s="193" t="s">
        <v>0</v>
      </c>
      <c r="J13" s="193" t="s">
        <v>0</v>
      </c>
    </row>
    <row r="14" spans="1:129" s="13" customFormat="1" x14ac:dyDescent="0.25">
      <c r="A14" s="12" t="s">
        <v>40</v>
      </c>
      <c r="B14" s="17">
        <v>1070</v>
      </c>
      <c r="C14" s="16">
        <f>'формування фін результатів'!C48</f>
        <v>73.599999999999994</v>
      </c>
      <c r="D14" s="131">
        <f>'формування фін результатів'!D48</f>
        <v>0</v>
      </c>
      <c r="E14" s="131">
        <f>'формування фін результатів'!E11</f>
        <v>5347.1</v>
      </c>
      <c r="F14" s="193">
        <f>'формування фін результатів'!F48</f>
        <v>0</v>
      </c>
      <c r="G14" s="193" t="s">
        <v>0</v>
      </c>
      <c r="H14" s="193" t="s">
        <v>0</v>
      </c>
      <c r="I14" s="193" t="s">
        <v>0</v>
      </c>
      <c r="J14" s="193" t="s">
        <v>0</v>
      </c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</row>
    <row r="15" spans="1:129" s="13" customFormat="1" x14ac:dyDescent="0.25">
      <c r="A15" s="12" t="s">
        <v>41</v>
      </c>
      <c r="B15" s="17">
        <v>1080</v>
      </c>
      <c r="C15" s="16">
        <f>'формування фін результатів'!C52</f>
        <v>32.1</v>
      </c>
      <c r="D15" s="131">
        <f>'формування фін результатів'!D52</f>
        <v>36.200000000000003</v>
      </c>
      <c r="E15" s="131">
        <f>'формування фін результатів'!E12</f>
        <v>1176.4000000000001</v>
      </c>
      <c r="F15" s="193">
        <f>'формування фін результатів'!F52</f>
        <v>51.789059999999999</v>
      </c>
      <c r="G15" s="193" t="s">
        <v>0</v>
      </c>
      <c r="H15" s="193" t="s">
        <v>0</v>
      </c>
      <c r="I15" s="193" t="s">
        <v>0</v>
      </c>
      <c r="J15" s="193" t="s">
        <v>0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</row>
    <row r="16" spans="1:129" s="25" customFormat="1" ht="31.5" x14ac:dyDescent="0.25">
      <c r="A16" s="125" t="s">
        <v>42</v>
      </c>
      <c r="B16" s="126">
        <v>1100</v>
      </c>
      <c r="C16" s="119">
        <f>'формування фін результатів'!C59</f>
        <v>-5007.699999999998</v>
      </c>
      <c r="D16" s="119">
        <f>'формування фін результатів'!D59</f>
        <v>40.200000000001907</v>
      </c>
      <c r="E16" s="131">
        <f>'формування фін результатів'!E13</f>
        <v>467.6</v>
      </c>
      <c r="F16" s="195">
        <f>'формування фін результатів'!F59</f>
        <v>-7174.1209288275977</v>
      </c>
      <c r="G16" s="195" t="s">
        <v>37</v>
      </c>
      <c r="H16" s="195" t="s">
        <v>37</v>
      </c>
      <c r="I16" s="195" t="s">
        <v>37</v>
      </c>
      <c r="J16" s="195" t="s">
        <v>37</v>
      </c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  <c r="DF16" s="128"/>
      <c r="DG16" s="128"/>
      <c r="DH16" s="128"/>
      <c r="DI16" s="128"/>
      <c r="DJ16" s="128"/>
      <c r="DK16" s="128"/>
      <c r="DL16" s="128"/>
      <c r="DM16" s="128"/>
      <c r="DN16" s="128"/>
      <c r="DO16" s="128"/>
      <c r="DP16" s="128"/>
      <c r="DQ16" s="128"/>
      <c r="DR16" s="128"/>
      <c r="DS16" s="128"/>
      <c r="DT16" s="128"/>
      <c r="DU16" s="128"/>
      <c r="DV16" s="128"/>
      <c r="DW16" s="128"/>
      <c r="DX16" s="128"/>
      <c r="DY16" s="128"/>
    </row>
    <row r="17" spans="1:129" s="25" customFormat="1" x14ac:dyDescent="0.25">
      <c r="A17" s="125" t="s">
        <v>43</v>
      </c>
      <c r="B17" s="126">
        <v>1310</v>
      </c>
      <c r="C17" s="119">
        <f>'формування фін результатів'!C88</f>
        <v>-4016.2999999999979</v>
      </c>
      <c r="D17" s="119">
        <f>'формування фін результатів'!D88</f>
        <v>496.20000000000192</v>
      </c>
      <c r="E17" s="131">
        <f>'формування фін результатів'!E14</f>
        <v>449.2</v>
      </c>
      <c r="F17" s="195">
        <f>'формування фін результатів'!F88</f>
        <v>-5700.9209288275979</v>
      </c>
      <c r="G17" s="195" t="s">
        <v>0</v>
      </c>
      <c r="H17" s="195" t="s">
        <v>0</v>
      </c>
      <c r="I17" s="195" t="s">
        <v>0</v>
      </c>
      <c r="J17" s="195" t="s">
        <v>0</v>
      </c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</row>
    <row r="18" spans="1:129" s="25" customFormat="1" x14ac:dyDescent="0.25">
      <c r="A18" s="125" t="s">
        <v>44</v>
      </c>
      <c r="B18" s="126">
        <v>5010</v>
      </c>
      <c r="C18" s="119">
        <f>'Коефіцієнтний аналіз'!D6</f>
        <v>-31.035948318496526</v>
      </c>
      <c r="D18" s="119">
        <f>'Коефіцієнтний аналіз'!E6</f>
        <v>1.9996050759825825</v>
      </c>
      <c r="E18" s="131">
        <f>'формування фін результатів'!E15</f>
        <v>0</v>
      </c>
      <c r="F18" s="195">
        <f>'Коефіцієнтний аналіз'!G6</f>
        <v>-29.805772357781997</v>
      </c>
      <c r="G18" s="195" t="s">
        <v>37</v>
      </c>
      <c r="H18" s="195" t="s">
        <v>37</v>
      </c>
      <c r="I18" s="195" t="s">
        <v>37</v>
      </c>
      <c r="J18" s="195" t="s">
        <v>37</v>
      </c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</row>
    <row r="19" spans="1:129" s="13" customFormat="1" x14ac:dyDescent="0.25">
      <c r="A19" s="12" t="s">
        <v>45</v>
      </c>
      <c r="B19" s="17">
        <v>1110</v>
      </c>
      <c r="C19" s="16">
        <f>'формування фін результатів'!C60</f>
        <v>0</v>
      </c>
      <c r="D19" s="131">
        <f>'формування фін результатів'!D60</f>
        <v>0</v>
      </c>
      <c r="E19" s="131">
        <f>'формування фін результатів'!E16</f>
        <v>2316.1000000000022</v>
      </c>
      <c r="F19" s="193">
        <f>'формування фін результатів'!F60</f>
        <v>0</v>
      </c>
      <c r="G19" s="193" t="s">
        <v>0</v>
      </c>
      <c r="H19" s="193" t="s">
        <v>0</v>
      </c>
      <c r="I19" s="193" t="s">
        <v>0</v>
      </c>
      <c r="J19" s="193" t="s">
        <v>0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</row>
    <row r="20" spans="1:129" s="13" customFormat="1" x14ac:dyDescent="0.25">
      <c r="A20" s="12" t="s">
        <v>46</v>
      </c>
      <c r="B20" s="17">
        <v>1120</v>
      </c>
      <c r="C20" s="16">
        <f>'формування фін результатів'!C61</f>
        <v>0</v>
      </c>
      <c r="D20" s="131">
        <f>'формування фін результатів'!D61</f>
        <v>0</v>
      </c>
      <c r="E20" s="131">
        <f>'формування фін результатів'!E17</f>
        <v>2239.7000000000003</v>
      </c>
      <c r="F20" s="193">
        <f>'формування фін результатів'!F61</f>
        <v>0</v>
      </c>
      <c r="G20" s="193" t="s">
        <v>0</v>
      </c>
      <c r="H20" s="193" t="s">
        <v>0</v>
      </c>
      <c r="I20" s="193" t="s">
        <v>0</v>
      </c>
      <c r="J20" s="193" t="s">
        <v>0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</row>
    <row r="21" spans="1:129" s="13" customFormat="1" x14ac:dyDescent="0.25">
      <c r="A21" s="12" t="s">
        <v>47</v>
      </c>
      <c r="B21" s="17">
        <v>1130</v>
      </c>
      <c r="C21" s="16">
        <f>'формування фін результатів'!C62</f>
        <v>0</v>
      </c>
      <c r="D21" s="131">
        <f>'формування фін результатів'!D62</f>
        <v>0</v>
      </c>
      <c r="E21" s="131">
        <f>'формування фін результатів'!E18</f>
        <v>0</v>
      </c>
      <c r="F21" s="193">
        <f>'формування фін результатів'!F62</f>
        <v>0</v>
      </c>
      <c r="G21" s="193" t="s">
        <v>0</v>
      </c>
      <c r="H21" s="193" t="s">
        <v>0</v>
      </c>
      <c r="I21" s="193" t="s">
        <v>0</v>
      </c>
      <c r="J21" s="193" t="s">
        <v>0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</row>
    <row r="22" spans="1:129" s="13" customFormat="1" x14ac:dyDescent="0.25">
      <c r="A22" s="12" t="s">
        <v>48</v>
      </c>
      <c r="B22" s="17">
        <v>1140</v>
      </c>
      <c r="C22" s="16">
        <f>'формування фін результатів'!C63</f>
        <v>0</v>
      </c>
      <c r="D22" s="131">
        <f>'формування фін результатів'!D63</f>
        <v>0</v>
      </c>
      <c r="E22" s="131">
        <f>'формування фін результатів'!E19</f>
        <v>0</v>
      </c>
      <c r="F22" s="193">
        <f>'формування фін результатів'!F63</f>
        <v>0</v>
      </c>
      <c r="G22" s="193" t="s">
        <v>0</v>
      </c>
      <c r="H22" s="193" t="s">
        <v>0</v>
      </c>
      <c r="I22" s="193" t="s">
        <v>0</v>
      </c>
      <c r="J22" s="193" t="s">
        <v>0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</row>
    <row r="23" spans="1:129" s="13" customFormat="1" x14ac:dyDescent="0.25">
      <c r="A23" s="12" t="s">
        <v>49</v>
      </c>
      <c r="B23" s="17">
        <v>1150</v>
      </c>
      <c r="C23" s="16">
        <f>'формування фін результатів'!C64</f>
        <v>4026.9</v>
      </c>
      <c r="D23" s="131">
        <f>'формування фін результатів'!D64</f>
        <v>0</v>
      </c>
      <c r="E23" s="131">
        <f>'формування фін результатів'!E20</f>
        <v>0</v>
      </c>
      <c r="F23" s="193">
        <f>'формування фін результатів'!F64</f>
        <v>0</v>
      </c>
      <c r="G23" s="193" t="s">
        <v>0</v>
      </c>
      <c r="H23" s="193" t="s">
        <v>0</v>
      </c>
      <c r="I23" s="193" t="s">
        <v>0</v>
      </c>
      <c r="J23" s="193" t="s">
        <v>0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</row>
    <row r="24" spans="1:129" s="13" customFormat="1" x14ac:dyDescent="0.25">
      <c r="A24" s="12" t="s">
        <v>50</v>
      </c>
      <c r="B24" s="17">
        <v>1160</v>
      </c>
      <c r="C24" s="16">
        <f>'формування фін результатів'!C67</f>
        <v>0</v>
      </c>
      <c r="D24" s="131">
        <f>'формування фін результатів'!D67</f>
        <v>0</v>
      </c>
      <c r="E24" s="131">
        <f>'формування фін результатів'!E21</f>
        <v>0</v>
      </c>
      <c r="F24" s="193">
        <f>'формування фін результатів'!F67</f>
        <v>0</v>
      </c>
      <c r="G24" s="193" t="s">
        <v>0</v>
      </c>
      <c r="H24" s="193" t="s">
        <v>0</v>
      </c>
      <c r="I24" s="193" t="s">
        <v>0</v>
      </c>
      <c r="J24" s="193" t="s">
        <v>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</row>
    <row r="25" spans="1:129" s="25" customFormat="1" ht="31.5" x14ac:dyDescent="0.25">
      <c r="A25" s="125" t="s">
        <v>51</v>
      </c>
      <c r="B25" s="126">
        <v>1170</v>
      </c>
      <c r="C25" s="119">
        <f>'формування фін результатів'!C70</f>
        <v>-980.79999999999791</v>
      </c>
      <c r="D25" s="119">
        <f>'формування фін результатів'!D70</f>
        <v>40.200000000001907</v>
      </c>
      <c r="E25" s="131">
        <f>'формування фін результатів'!E22</f>
        <v>0</v>
      </c>
      <c r="F25" s="195">
        <f>'формування фін результатів'!F70</f>
        <v>-7174.1209288275977</v>
      </c>
      <c r="G25" s="195" t="s">
        <v>37</v>
      </c>
      <c r="H25" s="195" t="s">
        <v>37</v>
      </c>
      <c r="I25" s="195" t="s">
        <v>37</v>
      </c>
      <c r="J25" s="195" t="s">
        <v>37</v>
      </c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  <c r="AD25" s="128"/>
      <c r="AE25" s="128"/>
      <c r="AF25" s="128"/>
      <c r="AG25" s="128"/>
      <c r="AH25" s="128"/>
      <c r="AI25" s="128"/>
      <c r="AJ25" s="128"/>
      <c r="AK25" s="128"/>
      <c r="AL25" s="128"/>
      <c r="AM25" s="128"/>
      <c r="AN25" s="128"/>
      <c r="AO25" s="128"/>
      <c r="AP25" s="128"/>
      <c r="AQ25" s="128"/>
      <c r="AR25" s="128"/>
      <c r="AS25" s="128"/>
      <c r="AT25" s="128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128"/>
      <c r="BL25" s="128"/>
      <c r="BM25" s="128"/>
      <c r="BN25" s="128"/>
      <c r="BO25" s="128"/>
      <c r="BP25" s="128"/>
      <c r="BQ25" s="128"/>
      <c r="BR25" s="128"/>
      <c r="BS25" s="128"/>
      <c r="BT25" s="128"/>
      <c r="BU25" s="128"/>
      <c r="BV25" s="128"/>
      <c r="BW25" s="128"/>
      <c r="BX25" s="128"/>
      <c r="BY25" s="128"/>
      <c r="BZ25" s="128"/>
      <c r="CA25" s="128"/>
      <c r="CB25" s="128"/>
      <c r="CC25" s="128"/>
      <c r="CD25" s="128"/>
      <c r="CE25" s="128"/>
      <c r="CF25" s="128"/>
      <c r="CG25" s="128"/>
      <c r="CH25" s="128"/>
      <c r="CI25" s="128"/>
      <c r="CJ25" s="128"/>
      <c r="CK25" s="128"/>
      <c r="CL25" s="128"/>
      <c r="CM25" s="128"/>
      <c r="CN25" s="128"/>
      <c r="CO25" s="128"/>
      <c r="CP25" s="128"/>
      <c r="CQ25" s="128"/>
      <c r="CR25" s="128"/>
      <c r="CS25" s="128"/>
      <c r="CT25" s="128"/>
      <c r="CU25" s="128"/>
      <c r="CV25" s="128"/>
      <c r="CW25" s="128"/>
      <c r="CX25" s="128"/>
      <c r="CY25" s="128"/>
      <c r="CZ25" s="128"/>
      <c r="DA25" s="128"/>
      <c r="DB25" s="128"/>
      <c r="DC25" s="128"/>
      <c r="DD25" s="128"/>
      <c r="DE25" s="128"/>
      <c r="DF25" s="128"/>
      <c r="DG25" s="128"/>
      <c r="DH25" s="128"/>
      <c r="DI25" s="128"/>
      <c r="DJ25" s="128"/>
      <c r="DK25" s="128"/>
      <c r="DL25" s="128"/>
      <c r="DM25" s="128"/>
      <c r="DN25" s="128"/>
      <c r="DO25" s="128"/>
      <c r="DP25" s="128"/>
      <c r="DQ25" s="128"/>
      <c r="DR25" s="128"/>
      <c r="DS25" s="128"/>
      <c r="DT25" s="128"/>
      <c r="DU25" s="128"/>
      <c r="DV25" s="128"/>
      <c r="DW25" s="128"/>
      <c r="DX25" s="128"/>
      <c r="DY25" s="128"/>
    </row>
    <row r="26" spans="1:129" s="13" customFormat="1" x14ac:dyDescent="0.25">
      <c r="A26" s="12" t="s">
        <v>52</v>
      </c>
      <c r="B26" s="17">
        <v>1180</v>
      </c>
      <c r="C26" s="16">
        <f>'формування фін результатів'!C71</f>
        <v>0</v>
      </c>
      <c r="D26" s="131">
        <f>'формування фін результатів'!D71</f>
        <v>2.8</v>
      </c>
      <c r="E26" s="131">
        <f>'формування фін результатів'!E23</f>
        <v>0</v>
      </c>
      <c r="F26" s="193">
        <f>'формування фін результатів'!F71</f>
        <v>-1291.3417671889677</v>
      </c>
      <c r="G26" s="193" t="s">
        <v>0</v>
      </c>
      <c r="H26" s="193" t="s">
        <v>0</v>
      </c>
      <c r="I26" s="193" t="s">
        <v>0</v>
      </c>
      <c r="J26" s="193" t="s">
        <v>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</row>
    <row r="27" spans="1:129" s="13" customFormat="1" x14ac:dyDescent="0.25">
      <c r="A27" s="12" t="s">
        <v>53</v>
      </c>
      <c r="B27" s="17">
        <v>1181</v>
      </c>
      <c r="C27" s="16">
        <f>'формування фін результатів'!C72</f>
        <v>0</v>
      </c>
      <c r="D27" s="131">
        <f>'формування фін результатів'!D72</f>
        <v>0</v>
      </c>
      <c r="E27" s="131">
        <f>'формування фін результатів'!E24</f>
        <v>12</v>
      </c>
      <c r="F27" s="193">
        <f>'формування фін результатів'!F72</f>
        <v>0</v>
      </c>
      <c r="G27" s="193" t="s">
        <v>0</v>
      </c>
      <c r="H27" s="193" t="s">
        <v>0</v>
      </c>
      <c r="I27" s="193" t="s">
        <v>0</v>
      </c>
      <c r="J27" s="193" t="s">
        <v>0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</row>
    <row r="28" spans="1:129" s="13" customFormat="1" ht="31.5" x14ac:dyDescent="0.25">
      <c r="A28" s="12" t="s">
        <v>54</v>
      </c>
      <c r="B28" s="17">
        <v>1190</v>
      </c>
      <c r="C28" s="16">
        <f>'формування фін результатів'!C73</f>
        <v>0</v>
      </c>
      <c r="D28" s="131">
        <f>'формування фін результатів'!D73</f>
        <v>0</v>
      </c>
      <c r="E28" s="131">
        <f>'формування фін результатів'!E25</f>
        <v>1675.4</v>
      </c>
      <c r="F28" s="193">
        <f>'формування фін результатів'!F73</f>
        <v>0</v>
      </c>
      <c r="G28" s="193" t="s">
        <v>0</v>
      </c>
      <c r="H28" s="193" t="s">
        <v>0</v>
      </c>
      <c r="I28" s="193" t="s">
        <v>0</v>
      </c>
      <c r="J28" s="193" t="s">
        <v>0</v>
      </c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</row>
    <row r="29" spans="1:129" s="13" customFormat="1" ht="31.5" x14ac:dyDescent="0.25">
      <c r="A29" s="12" t="s">
        <v>55</v>
      </c>
      <c r="B29" s="17">
        <v>1191</v>
      </c>
      <c r="C29" s="16">
        <f>'формування фін результатів'!C74</f>
        <v>0</v>
      </c>
      <c r="D29" s="131">
        <f>'формування фін результатів'!D74</f>
        <v>0</v>
      </c>
      <c r="E29" s="131">
        <f>'формування фін результатів'!E26</f>
        <v>368.6</v>
      </c>
      <c r="F29" s="193">
        <f>'формування фін результатів'!F74</f>
        <v>0</v>
      </c>
      <c r="G29" s="193" t="s">
        <v>0</v>
      </c>
      <c r="H29" s="193" t="s">
        <v>0</v>
      </c>
      <c r="I29" s="193" t="s">
        <v>0</v>
      </c>
      <c r="J29" s="193" t="s">
        <v>0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</row>
    <row r="30" spans="1:129" s="25" customFormat="1" x14ac:dyDescent="0.25">
      <c r="A30" s="125" t="s">
        <v>57</v>
      </c>
      <c r="B30" s="126">
        <v>1200</v>
      </c>
      <c r="C30" s="119">
        <f>'формування фін результатів'!C75</f>
        <v>-980.79999999999563</v>
      </c>
      <c r="D30" s="119">
        <f>'формування фін результатів'!D75</f>
        <v>12.6</v>
      </c>
      <c r="E30" s="131">
        <f>'формування фін результатів'!E27</f>
        <v>6.8</v>
      </c>
      <c r="F30" s="195">
        <f>'формування фін результатів'!F75</f>
        <v>-5882.7791616386294</v>
      </c>
      <c r="G30" s="195" t="s">
        <v>37</v>
      </c>
      <c r="H30" s="195" t="s">
        <v>37</v>
      </c>
      <c r="I30" s="195" t="s">
        <v>37</v>
      </c>
      <c r="J30" s="195" t="s">
        <v>37</v>
      </c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128"/>
      <c r="AD30" s="128"/>
      <c r="AE30" s="128"/>
      <c r="AF30" s="128"/>
      <c r="AG30" s="128"/>
      <c r="AH30" s="128"/>
      <c r="AI30" s="128"/>
      <c r="AJ30" s="128"/>
      <c r="AK30" s="128"/>
      <c r="AL30" s="128"/>
      <c r="AM30" s="128"/>
      <c r="AN30" s="128"/>
      <c r="AO30" s="128"/>
      <c r="AP30" s="128"/>
      <c r="AQ30" s="128"/>
      <c r="AR30" s="128"/>
      <c r="AS30" s="128"/>
      <c r="AT30" s="128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/>
      <c r="BJ30" s="128"/>
      <c r="BK30" s="128"/>
      <c r="BL30" s="128"/>
      <c r="BM30" s="128"/>
      <c r="BN30" s="128"/>
      <c r="BO30" s="128"/>
      <c r="BP30" s="128"/>
      <c r="BQ30" s="128"/>
      <c r="BR30" s="128"/>
      <c r="BS30" s="128"/>
      <c r="BT30" s="128"/>
      <c r="BU30" s="128"/>
      <c r="BV30" s="128"/>
      <c r="BW30" s="128"/>
      <c r="BX30" s="128"/>
      <c r="BY30" s="128"/>
      <c r="BZ30" s="128"/>
      <c r="CA30" s="128"/>
      <c r="CB30" s="128"/>
      <c r="CC30" s="128"/>
      <c r="CD30" s="128"/>
      <c r="CE30" s="128"/>
      <c r="CF30" s="128"/>
      <c r="CG30" s="128"/>
      <c r="CH30" s="128"/>
      <c r="CI30" s="128"/>
      <c r="CJ30" s="128"/>
      <c r="CK30" s="128"/>
      <c r="CL30" s="128"/>
      <c r="CM30" s="128"/>
      <c r="CN30" s="128"/>
      <c r="CO30" s="128"/>
      <c r="CP30" s="128"/>
      <c r="CQ30" s="128"/>
      <c r="CR30" s="128"/>
      <c r="CS30" s="128"/>
      <c r="CT30" s="128"/>
      <c r="CU30" s="128"/>
      <c r="CV30" s="128"/>
      <c r="CW30" s="128"/>
      <c r="CX30" s="128"/>
      <c r="CY30" s="128"/>
      <c r="CZ30" s="128"/>
      <c r="DA30" s="128"/>
      <c r="DB30" s="128"/>
      <c r="DC30" s="128"/>
      <c r="DD30" s="128"/>
      <c r="DE30" s="128"/>
      <c r="DF30" s="128"/>
      <c r="DG30" s="128"/>
      <c r="DH30" s="128"/>
      <c r="DI30" s="128"/>
      <c r="DJ30" s="128"/>
      <c r="DK30" s="128"/>
      <c r="DL30" s="128"/>
      <c r="DM30" s="128"/>
      <c r="DN30" s="128"/>
      <c r="DO30" s="128"/>
      <c r="DP30" s="128"/>
      <c r="DQ30" s="128"/>
      <c r="DR30" s="128"/>
      <c r="DS30" s="128"/>
      <c r="DT30" s="128"/>
      <c r="DU30" s="128"/>
      <c r="DV30" s="128"/>
      <c r="DW30" s="128"/>
      <c r="DX30" s="128"/>
      <c r="DY30" s="128"/>
    </row>
    <row r="31" spans="1:129" s="13" customFormat="1" x14ac:dyDescent="0.25">
      <c r="A31" s="12" t="s">
        <v>58</v>
      </c>
      <c r="B31" s="17">
        <v>1201</v>
      </c>
      <c r="C31" s="16">
        <f>'формування фін результатів'!C76</f>
        <v>0</v>
      </c>
      <c r="D31" s="131">
        <f>'формування фін результатів'!D76</f>
        <v>12.6</v>
      </c>
      <c r="E31" s="131">
        <f>'формування фін результатів'!E28</f>
        <v>0</v>
      </c>
      <c r="F31" s="193">
        <f>'формування фін результатів'!F76</f>
        <v>-5882.7791616386294</v>
      </c>
      <c r="G31" s="193" t="s">
        <v>0</v>
      </c>
      <c r="H31" s="193" t="s">
        <v>0</v>
      </c>
      <c r="I31" s="193" t="s">
        <v>0</v>
      </c>
      <c r="J31" s="193" t="s">
        <v>0</v>
      </c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</row>
    <row r="32" spans="1:129" s="13" customFormat="1" x14ac:dyDescent="0.25">
      <c r="A32" s="12" t="s">
        <v>59</v>
      </c>
      <c r="B32" s="17">
        <v>1202</v>
      </c>
      <c r="C32" s="16">
        <f>'формування фін результатів'!C77</f>
        <v>-980.79999999999563</v>
      </c>
      <c r="D32" s="131">
        <f>'формування фін результатів'!D77</f>
        <v>0</v>
      </c>
      <c r="E32" s="131">
        <f>'формування фін результатів'!E29</f>
        <v>0</v>
      </c>
      <c r="F32" s="193">
        <f>'формування фін результатів'!F77</f>
        <v>0</v>
      </c>
      <c r="G32" s="193" t="s">
        <v>0</v>
      </c>
      <c r="H32" s="193" t="s">
        <v>0</v>
      </c>
      <c r="I32" s="193" t="s">
        <v>0</v>
      </c>
      <c r="J32" s="193" t="s">
        <v>0</v>
      </c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</row>
    <row r="33" spans="1:129" s="13" customFormat="1" x14ac:dyDescent="0.25">
      <c r="A33" s="271" t="s">
        <v>60</v>
      </c>
      <c r="B33" s="271"/>
      <c r="C33" s="271"/>
      <c r="D33" s="271"/>
      <c r="E33" s="271"/>
      <c r="F33" s="271"/>
      <c r="G33" s="271"/>
      <c r="H33" s="271"/>
      <c r="I33" s="271"/>
      <c r="J33" s="271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</row>
    <row r="34" spans="1:129" s="25" customFormat="1" ht="63" x14ac:dyDescent="0.25">
      <c r="A34" s="125" t="s">
        <v>61</v>
      </c>
      <c r="B34" s="126">
        <v>2110</v>
      </c>
      <c r="C34" s="119">
        <f>'розрахунки з бюджетом'!C20</f>
        <v>88.1</v>
      </c>
      <c r="D34" s="119">
        <f>'розрахунки з бюджетом'!D20</f>
        <v>112.6</v>
      </c>
      <c r="E34" s="127">
        <f>D34</f>
        <v>112.6</v>
      </c>
      <c r="F34" s="195">
        <f>'розрахунки з бюджетом'!F20</f>
        <v>-1179.5822889889675</v>
      </c>
      <c r="G34" s="195" t="s">
        <v>0</v>
      </c>
      <c r="H34" s="195" t="s">
        <v>0</v>
      </c>
      <c r="I34" s="195" t="s">
        <v>0</v>
      </c>
      <c r="J34" s="195" t="s">
        <v>0</v>
      </c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28"/>
      <c r="AO34" s="128"/>
      <c r="AP34" s="128"/>
      <c r="AQ34" s="128"/>
      <c r="AR34" s="128"/>
      <c r="AS34" s="128"/>
      <c r="AT34" s="128"/>
      <c r="AU34" s="128"/>
      <c r="AV34" s="128"/>
      <c r="AW34" s="128"/>
      <c r="AX34" s="128"/>
      <c r="AY34" s="128"/>
      <c r="AZ34" s="128"/>
      <c r="BA34" s="128"/>
      <c r="BB34" s="128"/>
      <c r="BC34" s="128"/>
      <c r="BD34" s="128"/>
      <c r="BE34" s="128"/>
      <c r="BF34" s="128"/>
      <c r="BG34" s="128"/>
      <c r="BH34" s="128"/>
      <c r="BI34" s="128"/>
      <c r="BJ34" s="128"/>
      <c r="BK34" s="128"/>
      <c r="BL34" s="128"/>
      <c r="BM34" s="128"/>
      <c r="BN34" s="128"/>
      <c r="BO34" s="128"/>
      <c r="BP34" s="128"/>
      <c r="BQ34" s="128"/>
      <c r="BR34" s="128"/>
      <c r="BS34" s="128"/>
      <c r="BT34" s="128"/>
      <c r="BU34" s="128"/>
      <c r="BV34" s="128"/>
      <c r="BW34" s="128"/>
      <c r="BX34" s="128"/>
      <c r="BY34" s="128"/>
      <c r="BZ34" s="128"/>
      <c r="CA34" s="128"/>
      <c r="CB34" s="128"/>
      <c r="CC34" s="128"/>
      <c r="CD34" s="128"/>
      <c r="CE34" s="128"/>
      <c r="CF34" s="128"/>
      <c r="CG34" s="128"/>
      <c r="CH34" s="128"/>
      <c r="CI34" s="128"/>
      <c r="CJ34" s="128"/>
      <c r="CK34" s="128"/>
      <c r="CL34" s="128"/>
      <c r="CM34" s="128"/>
      <c r="CN34" s="128"/>
      <c r="CO34" s="128"/>
      <c r="CP34" s="128"/>
      <c r="CQ34" s="128"/>
      <c r="CR34" s="128"/>
      <c r="CS34" s="128"/>
      <c r="CT34" s="128"/>
      <c r="CU34" s="128"/>
      <c r="CV34" s="128"/>
      <c r="CW34" s="128"/>
      <c r="CX34" s="128"/>
      <c r="CY34" s="128"/>
      <c r="CZ34" s="128"/>
      <c r="DA34" s="128"/>
      <c r="DB34" s="128"/>
      <c r="DC34" s="128"/>
      <c r="DD34" s="128"/>
      <c r="DE34" s="128"/>
      <c r="DF34" s="128"/>
      <c r="DG34" s="128"/>
      <c r="DH34" s="128"/>
      <c r="DI34" s="128"/>
      <c r="DJ34" s="128"/>
      <c r="DK34" s="128"/>
      <c r="DL34" s="128"/>
      <c r="DM34" s="128"/>
      <c r="DN34" s="128"/>
      <c r="DO34" s="128"/>
      <c r="DP34" s="128"/>
      <c r="DQ34" s="128"/>
      <c r="DR34" s="128"/>
      <c r="DS34" s="128"/>
      <c r="DT34" s="128"/>
      <c r="DU34" s="128"/>
      <c r="DV34" s="128"/>
      <c r="DW34" s="128"/>
      <c r="DX34" s="128"/>
      <c r="DY34" s="128"/>
    </row>
    <row r="35" spans="1:129" s="13" customFormat="1" x14ac:dyDescent="0.25">
      <c r="A35" s="12" t="s">
        <v>62</v>
      </c>
      <c r="B35" s="17">
        <v>2111</v>
      </c>
      <c r="C35" s="16">
        <f>'розрахунки з бюджетом'!C21</f>
        <v>0</v>
      </c>
      <c r="D35" s="131">
        <f>'розрахунки з бюджетом'!D21</f>
        <v>2.8</v>
      </c>
      <c r="E35" s="127">
        <f t="shared" ref="E35:E46" si="0">D35</f>
        <v>2.8</v>
      </c>
      <c r="F35" s="193">
        <f>'розрахунки з бюджетом'!F21</f>
        <v>-1291.3417671889677</v>
      </c>
      <c r="G35" s="193" t="s">
        <v>0</v>
      </c>
      <c r="H35" s="193" t="s">
        <v>0</v>
      </c>
      <c r="I35" s="193" t="s">
        <v>0</v>
      </c>
      <c r="J35" s="193" t="s">
        <v>0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</row>
    <row r="36" spans="1:129" s="13" customFormat="1" ht="47.25" x14ac:dyDescent="0.25">
      <c r="A36" s="12" t="s">
        <v>63</v>
      </c>
      <c r="B36" s="17">
        <v>2112</v>
      </c>
      <c r="C36" s="16">
        <f>'розрахунки з бюджетом'!C22</f>
        <v>0</v>
      </c>
      <c r="D36" s="131">
        <f>'розрахунки з бюджетом'!D22</f>
        <v>0</v>
      </c>
      <c r="E36" s="127">
        <f t="shared" si="0"/>
        <v>0</v>
      </c>
      <c r="F36" s="193">
        <f>'розрахунки з бюджетом'!F22</f>
        <v>0</v>
      </c>
      <c r="G36" s="193" t="s">
        <v>0</v>
      </c>
      <c r="H36" s="193" t="s">
        <v>0</v>
      </c>
      <c r="I36" s="193" t="s">
        <v>0</v>
      </c>
      <c r="J36" s="193" t="s">
        <v>0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</row>
    <row r="37" spans="1:129" s="13" customFormat="1" ht="63" x14ac:dyDescent="0.25">
      <c r="A37" s="12" t="s">
        <v>64</v>
      </c>
      <c r="B37" s="17">
        <v>2113</v>
      </c>
      <c r="C37" s="16">
        <f>'розрахунки з бюджетом'!C23</f>
        <v>0</v>
      </c>
      <c r="D37" s="131">
        <f>'розрахунки з бюджетом'!D23</f>
        <v>0</v>
      </c>
      <c r="E37" s="127">
        <f t="shared" si="0"/>
        <v>0</v>
      </c>
      <c r="F37" s="193">
        <f>'розрахунки з бюджетом'!F23</f>
        <v>0</v>
      </c>
      <c r="G37" s="193" t="s">
        <v>56</v>
      </c>
      <c r="H37" s="193" t="s">
        <v>56</v>
      </c>
      <c r="I37" s="193" t="s">
        <v>56</v>
      </c>
      <c r="J37" s="193" t="s">
        <v>56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</row>
    <row r="38" spans="1:129" s="13" customFormat="1" x14ac:dyDescent="0.25">
      <c r="A38" s="12" t="s">
        <v>65</v>
      </c>
      <c r="B38" s="17">
        <v>2114</v>
      </c>
      <c r="C38" s="16">
        <f>'розрахунки з бюджетом'!C24</f>
        <v>0</v>
      </c>
      <c r="D38" s="131">
        <f>'розрахунки з бюджетом'!D24</f>
        <v>0</v>
      </c>
      <c r="E38" s="127">
        <f t="shared" si="0"/>
        <v>0</v>
      </c>
      <c r="F38" s="193">
        <f>'розрахунки з бюджетом'!F24</f>
        <v>0</v>
      </c>
      <c r="G38" s="193" t="s">
        <v>0</v>
      </c>
      <c r="H38" s="193" t="s">
        <v>0</v>
      </c>
      <c r="I38" s="193" t="s">
        <v>0</v>
      </c>
      <c r="J38" s="193" t="s">
        <v>0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</row>
    <row r="39" spans="1:129" s="13" customFormat="1" ht="63" x14ac:dyDescent="0.25">
      <c r="A39" s="12" t="s">
        <v>66</v>
      </c>
      <c r="B39" s="17">
        <v>2115</v>
      </c>
      <c r="C39" s="16">
        <f>'розрахунки з бюджетом'!C25</f>
        <v>0</v>
      </c>
      <c r="D39" s="131">
        <f>'розрахунки з бюджетом'!D25</f>
        <v>0</v>
      </c>
      <c r="E39" s="127">
        <f t="shared" si="0"/>
        <v>0</v>
      </c>
      <c r="F39" s="193">
        <f>'розрахунки з бюджетом'!F25</f>
        <v>0</v>
      </c>
      <c r="G39" s="193" t="s">
        <v>0</v>
      </c>
      <c r="H39" s="193" t="s">
        <v>0</v>
      </c>
      <c r="I39" s="193" t="s">
        <v>0</v>
      </c>
      <c r="J39" s="193" t="s">
        <v>0</v>
      </c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</row>
    <row r="40" spans="1:129" s="13" customFormat="1" x14ac:dyDescent="0.25">
      <c r="A40" s="12" t="s">
        <v>67</v>
      </c>
      <c r="B40" s="17">
        <v>2116</v>
      </c>
      <c r="C40" s="16">
        <f>'розрахунки з бюджетом'!C26</f>
        <v>0</v>
      </c>
      <c r="D40" s="131">
        <f>'розрахунки з бюджетом'!D26</f>
        <v>0</v>
      </c>
      <c r="E40" s="127">
        <f t="shared" si="0"/>
        <v>0</v>
      </c>
      <c r="F40" s="193">
        <f>'розрахунки з бюджетом'!F26</f>
        <v>0</v>
      </c>
      <c r="G40" s="193" t="s">
        <v>0</v>
      </c>
      <c r="H40" s="193" t="s">
        <v>0</v>
      </c>
      <c r="I40" s="193" t="s">
        <v>0</v>
      </c>
      <c r="J40" s="193" t="s">
        <v>0</v>
      </c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</row>
    <row r="41" spans="1:129" s="13" customFormat="1" ht="31.5" x14ac:dyDescent="0.25">
      <c r="A41" s="12" t="s">
        <v>68</v>
      </c>
      <c r="B41" s="17">
        <v>2117</v>
      </c>
      <c r="C41" s="16">
        <f>'розрахунки з бюджетом'!C27</f>
        <v>0</v>
      </c>
      <c r="D41" s="131">
        <f>'розрахунки з бюджетом'!D27</f>
        <v>0</v>
      </c>
      <c r="E41" s="127">
        <f t="shared" si="0"/>
        <v>0</v>
      </c>
      <c r="F41" s="193">
        <f>'розрахунки з бюджетом'!F27</f>
        <v>0</v>
      </c>
      <c r="G41" s="193" t="s">
        <v>0</v>
      </c>
      <c r="H41" s="193" t="s">
        <v>0</v>
      </c>
      <c r="I41" s="193" t="s">
        <v>0</v>
      </c>
      <c r="J41" s="193" t="s">
        <v>0</v>
      </c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</row>
    <row r="42" spans="1:129" s="25" customFormat="1" ht="47.25" x14ac:dyDescent="0.25">
      <c r="A42" s="125" t="s">
        <v>69</v>
      </c>
      <c r="B42" s="126">
        <v>2120</v>
      </c>
      <c r="C42" s="119">
        <f>'розрахунки з бюджетом'!C30</f>
        <v>991.7</v>
      </c>
      <c r="D42" s="119">
        <f>'розрахунки з бюджетом'!D30</f>
        <v>1628.1999999999998</v>
      </c>
      <c r="E42" s="127">
        <f t="shared" si="0"/>
        <v>1628.1999999999998</v>
      </c>
      <c r="F42" s="195">
        <f>'розрахунки з бюджетом'!F30</f>
        <v>1247.3975850071956</v>
      </c>
      <c r="G42" s="195" t="s">
        <v>0</v>
      </c>
      <c r="H42" s="195" t="s">
        <v>0</v>
      </c>
      <c r="I42" s="195" t="s">
        <v>0</v>
      </c>
      <c r="J42" s="195" t="s">
        <v>0</v>
      </c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8"/>
      <c r="BC42" s="128"/>
      <c r="BD42" s="128"/>
      <c r="BE42" s="128"/>
      <c r="BF42" s="128"/>
      <c r="BG42" s="128"/>
      <c r="BH42" s="128"/>
      <c r="BI42" s="128"/>
      <c r="BJ42" s="128"/>
      <c r="BK42" s="128"/>
      <c r="BL42" s="128"/>
      <c r="BM42" s="128"/>
      <c r="BN42" s="128"/>
      <c r="BO42" s="128"/>
      <c r="BP42" s="128"/>
      <c r="BQ42" s="128"/>
      <c r="BR42" s="128"/>
      <c r="BS42" s="128"/>
      <c r="BT42" s="128"/>
      <c r="BU42" s="128"/>
      <c r="BV42" s="128"/>
      <c r="BW42" s="128"/>
      <c r="BX42" s="128"/>
      <c r="BY42" s="128"/>
      <c r="BZ42" s="128"/>
      <c r="CA42" s="128"/>
      <c r="CB42" s="128"/>
      <c r="CC42" s="128"/>
      <c r="CD42" s="128"/>
      <c r="CE42" s="128"/>
      <c r="CF42" s="128"/>
      <c r="CG42" s="128"/>
      <c r="CH42" s="128"/>
      <c r="CI42" s="128"/>
      <c r="CJ42" s="128"/>
      <c r="CK42" s="128"/>
      <c r="CL42" s="128"/>
      <c r="CM42" s="128"/>
      <c r="CN42" s="128"/>
      <c r="CO42" s="128"/>
      <c r="CP42" s="128"/>
      <c r="CQ42" s="128"/>
      <c r="CR42" s="128"/>
      <c r="CS42" s="128"/>
      <c r="CT42" s="128"/>
      <c r="CU42" s="128"/>
      <c r="CV42" s="128"/>
      <c r="CW42" s="128"/>
      <c r="CX42" s="128"/>
      <c r="CY42" s="128"/>
      <c r="CZ42" s="128"/>
      <c r="DA42" s="128"/>
      <c r="DB42" s="128"/>
      <c r="DC42" s="128"/>
      <c r="DD42" s="128"/>
      <c r="DE42" s="128"/>
      <c r="DF42" s="128"/>
      <c r="DG42" s="128"/>
      <c r="DH42" s="128"/>
      <c r="DI42" s="128"/>
      <c r="DJ42" s="128"/>
      <c r="DK42" s="128"/>
      <c r="DL42" s="128"/>
      <c r="DM42" s="128"/>
      <c r="DN42" s="128"/>
      <c r="DO42" s="128"/>
      <c r="DP42" s="128"/>
      <c r="DQ42" s="128"/>
      <c r="DR42" s="128"/>
      <c r="DS42" s="128"/>
      <c r="DT42" s="128"/>
      <c r="DU42" s="128"/>
      <c r="DV42" s="128"/>
      <c r="DW42" s="128"/>
      <c r="DX42" s="128"/>
      <c r="DY42" s="128"/>
    </row>
    <row r="43" spans="1:129" s="25" customFormat="1" ht="47.25" x14ac:dyDescent="0.25">
      <c r="A43" s="125" t="s">
        <v>248</v>
      </c>
      <c r="B43" s="126">
        <v>2130</v>
      </c>
      <c r="C43" s="119">
        <f>'розрахунки з бюджетом'!C35</f>
        <v>1186.2</v>
      </c>
      <c r="D43" s="119">
        <f>'розрахунки з бюджетом'!D35</f>
        <v>1545</v>
      </c>
      <c r="E43" s="127">
        <f t="shared" si="0"/>
        <v>1545</v>
      </c>
      <c r="F43" s="195">
        <f>'розрахунки з бюджетом'!F35</f>
        <v>1573.1390136</v>
      </c>
      <c r="G43" s="195" t="s">
        <v>0</v>
      </c>
      <c r="H43" s="195" t="s">
        <v>0</v>
      </c>
      <c r="I43" s="195" t="s">
        <v>0</v>
      </c>
      <c r="J43" s="195" t="s">
        <v>0</v>
      </c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8"/>
      <c r="BC43" s="128"/>
      <c r="BD43" s="128"/>
      <c r="BE43" s="128"/>
      <c r="BF43" s="128"/>
      <c r="BG43" s="128"/>
      <c r="BH43" s="128"/>
      <c r="BI43" s="128"/>
      <c r="BJ43" s="128"/>
      <c r="BK43" s="128"/>
      <c r="BL43" s="128"/>
      <c r="BM43" s="128"/>
      <c r="BN43" s="128"/>
      <c r="BO43" s="128"/>
      <c r="BP43" s="128"/>
      <c r="BQ43" s="128"/>
      <c r="BR43" s="128"/>
      <c r="BS43" s="128"/>
      <c r="BT43" s="128"/>
      <c r="BU43" s="128"/>
      <c r="BV43" s="128"/>
      <c r="BW43" s="128"/>
      <c r="BX43" s="128"/>
      <c r="BY43" s="128"/>
      <c r="BZ43" s="128"/>
      <c r="CA43" s="128"/>
      <c r="CB43" s="128"/>
      <c r="CC43" s="128"/>
      <c r="CD43" s="128"/>
      <c r="CE43" s="128"/>
      <c r="CF43" s="128"/>
      <c r="CG43" s="128"/>
      <c r="CH43" s="128"/>
      <c r="CI43" s="128"/>
      <c r="CJ43" s="128"/>
      <c r="CK43" s="128"/>
      <c r="CL43" s="128"/>
      <c r="CM43" s="128"/>
      <c r="CN43" s="128"/>
      <c r="CO43" s="128"/>
      <c r="CP43" s="128"/>
      <c r="CQ43" s="128"/>
      <c r="CR43" s="128"/>
      <c r="CS43" s="128"/>
      <c r="CT43" s="128"/>
      <c r="CU43" s="128"/>
      <c r="CV43" s="128"/>
      <c r="CW43" s="128"/>
      <c r="CX43" s="128"/>
      <c r="CY43" s="128"/>
      <c r="CZ43" s="128"/>
      <c r="DA43" s="128"/>
      <c r="DB43" s="128"/>
      <c r="DC43" s="128"/>
      <c r="DD43" s="128"/>
      <c r="DE43" s="128"/>
      <c r="DF43" s="128"/>
      <c r="DG43" s="128"/>
      <c r="DH43" s="128"/>
      <c r="DI43" s="128"/>
      <c r="DJ43" s="128"/>
      <c r="DK43" s="128"/>
      <c r="DL43" s="128"/>
      <c r="DM43" s="128"/>
      <c r="DN43" s="128"/>
      <c r="DO43" s="128"/>
      <c r="DP43" s="128"/>
      <c r="DQ43" s="128"/>
      <c r="DR43" s="128"/>
      <c r="DS43" s="128"/>
      <c r="DT43" s="128"/>
      <c r="DU43" s="128"/>
      <c r="DV43" s="128"/>
      <c r="DW43" s="128"/>
      <c r="DX43" s="128"/>
      <c r="DY43" s="128"/>
    </row>
    <row r="44" spans="1:129" s="13" customFormat="1" ht="110.25" x14ac:dyDescent="0.25">
      <c r="A44" s="12" t="s">
        <v>70</v>
      </c>
      <c r="B44" s="17">
        <v>2131</v>
      </c>
      <c r="C44" s="16">
        <f>'розрахунки з бюджетом'!C36</f>
        <v>0</v>
      </c>
      <c r="D44" s="131">
        <f>'розрахунки з бюджетом'!D36</f>
        <v>0</v>
      </c>
      <c r="E44" s="127">
        <f t="shared" si="0"/>
        <v>0</v>
      </c>
      <c r="F44" s="193">
        <f>'розрахунки з бюджетом'!F36</f>
        <v>0</v>
      </c>
      <c r="G44" s="193" t="s">
        <v>0</v>
      </c>
      <c r="H44" s="193" t="s">
        <v>0</v>
      </c>
      <c r="I44" s="193" t="s">
        <v>0</v>
      </c>
      <c r="J44" s="193" t="s">
        <v>0</v>
      </c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</row>
    <row r="45" spans="1:129" ht="47.25" x14ac:dyDescent="0.25">
      <c r="A45" s="12" t="s">
        <v>71</v>
      </c>
      <c r="B45" s="17">
        <v>2133</v>
      </c>
      <c r="C45" s="16">
        <f>'розрахунки з бюджетом'!C38</f>
        <v>1186.2</v>
      </c>
      <c r="D45" s="131">
        <f>'розрахунки з бюджетом'!D38</f>
        <v>1545</v>
      </c>
      <c r="E45" s="127">
        <f t="shared" si="0"/>
        <v>1545</v>
      </c>
      <c r="F45" s="193">
        <f>'розрахунки з бюджетом'!F38</f>
        <v>1573.1390136</v>
      </c>
      <c r="G45" s="193" t="s">
        <v>0</v>
      </c>
      <c r="H45" s="193" t="s">
        <v>0</v>
      </c>
      <c r="I45" s="193" t="s">
        <v>0</v>
      </c>
      <c r="J45" s="193" t="s">
        <v>0</v>
      </c>
    </row>
    <row r="46" spans="1:129" s="128" customFormat="1" ht="31.5" x14ac:dyDescent="0.25">
      <c r="A46" s="125" t="s">
        <v>72</v>
      </c>
      <c r="B46" s="126">
        <v>2200</v>
      </c>
      <c r="C46" s="119">
        <f>'розрахунки з бюджетом'!C43</f>
        <v>2266</v>
      </c>
      <c r="D46" s="119">
        <f>'розрахунки з бюджетом'!D43</f>
        <v>3285.7999999999997</v>
      </c>
      <c r="E46" s="127">
        <f t="shared" si="0"/>
        <v>3285.7999999999997</v>
      </c>
      <c r="F46" s="195">
        <f>'розрахунки з бюджетом'!F43</f>
        <v>1640.9543096182281</v>
      </c>
      <c r="G46" s="195" t="s">
        <v>0</v>
      </c>
      <c r="H46" s="195" t="s">
        <v>0</v>
      </c>
      <c r="I46" s="195" t="s">
        <v>0</v>
      </c>
      <c r="J46" s="195" t="s">
        <v>0</v>
      </c>
    </row>
    <row r="47" spans="1:129" x14ac:dyDescent="0.25">
      <c r="A47" s="271" t="s">
        <v>73</v>
      </c>
      <c r="B47" s="271"/>
      <c r="C47" s="271"/>
      <c r="D47" s="271"/>
      <c r="E47" s="271"/>
      <c r="F47" s="271"/>
      <c r="G47" s="271"/>
      <c r="H47" s="271"/>
      <c r="I47" s="271"/>
      <c r="J47" s="271"/>
    </row>
    <row r="48" spans="1:129" s="128" customFormat="1" ht="31.5" x14ac:dyDescent="0.25">
      <c r="A48" s="125" t="s">
        <v>74</v>
      </c>
      <c r="B48" s="126">
        <v>3405</v>
      </c>
      <c r="C48" s="119">
        <f>'рух грош коштів'!C77</f>
        <v>24813.7</v>
      </c>
      <c r="D48" s="119">
        <f>'рух грош коштів'!D77</f>
        <v>46.7</v>
      </c>
      <c r="E48" s="127">
        <f>D48</f>
        <v>46.7</v>
      </c>
      <c r="F48" s="195">
        <f>'рух грош коштів'!F77</f>
        <v>1306.5999999999985</v>
      </c>
      <c r="G48" s="195" t="s">
        <v>75</v>
      </c>
      <c r="H48" s="195" t="s">
        <v>75</v>
      </c>
      <c r="I48" s="195" t="s">
        <v>75</v>
      </c>
      <c r="J48" s="195" t="s">
        <v>75</v>
      </c>
    </row>
    <row r="49" spans="1:17" x14ac:dyDescent="0.25">
      <c r="A49" s="12" t="s">
        <v>76</v>
      </c>
      <c r="B49" s="17">
        <v>3040</v>
      </c>
      <c r="C49" s="16">
        <f>'рух грош коштів'!C10</f>
        <v>20026.8</v>
      </c>
      <c r="D49" s="131">
        <f>'рух грош коштів'!D10</f>
        <v>0</v>
      </c>
      <c r="E49" s="127">
        <f t="shared" ref="E49:E54" si="1">D49</f>
        <v>0</v>
      </c>
      <c r="F49" s="193">
        <f>'рух грош коштів'!F10</f>
        <v>0</v>
      </c>
      <c r="G49" s="193" t="s">
        <v>0</v>
      </c>
      <c r="H49" s="193" t="s">
        <v>0</v>
      </c>
      <c r="I49" s="193" t="s">
        <v>0</v>
      </c>
      <c r="J49" s="193" t="s">
        <v>0</v>
      </c>
    </row>
    <row r="50" spans="1:17" ht="31.5" x14ac:dyDescent="0.25">
      <c r="A50" s="12" t="s">
        <v>77</v>
      </c>
      <c r="B50" s="17">
        <v>3195</v>
      </c>
      <c r="C50" s="16">
        <f>'рух грош коштів'!C37</f>
        <v>19293.399999999998</v>
      </c>
      <c r="D50" s="131">
        <f>'рух грош коштів'!D37</f>
        <v>1259.8999999999978</v>
      </c>
      <c r="E50" s="127">
        <f t="shared" si="1"/>
        <v>1259.8999999999978</v>
      </c>
      <c r="F50" s="193">
        <f>'рух грош коштів'!F37</f>
        <v>-4821.5091686841479</v>
      </c>
      <c r="G50" s="193" t="s">
        <v>75</v>
      </c>
      <c r="H50" s="193" t="s">
        <v>75</v>
      </c>
      <c r="I50" s="193" t="s">
        <v>75</v>
      </c>
      <c r="J50" s="193" t="s">
        <v>75</v>
      </c>
    </row>
    <row r="51" spans="1:17" ht="31.5" x14ac:dyDescent="0.25">
      <c r="A51" s="12" t="s">
        <v>78</v>
      </c>
      <c r="B51" s="17">
        <v>3295</v>
      </c>
      <c r="C51" s="16">
        <f>'рух грош коштів'!C56</f>
        <v>-32107</v>
      </c>
      <c r="D51" s="131">
        <f>'рух грош коштів'!D56</f>
        <v>0</v>
      </c>
      <c r="E51" s="127">
        <f t="shared" si="1"/>
        <v>0</v>
      </c>
      <c r="F51" s="193">
        <f>'рух грош коштів'!F56</f>
        <v>0</v>
      </c>
      <c r="G51" s="193" t="s">
        <v>75</v>
      </c>
      <c r="H51" s="193" t="s">
        <v>75</v>
      </c>
      <c r="I51" s="193" t="s">
        <v>75</v>
      </c>
      <c r="J51" s="193" t="s">
        <v>75</v>
      </c>
    </row>
    <row r="52" spans="1:17" ht="31.5" x14ac:dyDescent="0.25">
      <c r="A52" s="12" t="s">
        <v>79</v>
      </c>
      <c r="B52" s="17">
        <v>3395</v>
      </c>
      <c r="C52" s="16">
        <f>'рух грош коштів'!C75</f>
        <v>0</v>
      </c>
      <c r="D52" s="131">
        <f>'рух грош коштів'!D75</f>
        <v>0</v>
      </c>
      <c r="E52" s="127">
        <f t="shared" si="1"/>
        <v>0</v>
      </c>
      <c r="F52" s="193">
        <f>'рух грош коштів'!F75</f>
        <v>0</v>
      </c>
      <c r="G52" s="193" t="s">
        <v>75</v>
      </c>
      <c r="H52" s="193" t="s">
        <v>75</v>
      </c>
      <c r="I52" s="193" t="s">
        <v>75</v>
      </c>
      <c r="J52" s="193" t="s">
        <v>75</v>
      </c>
    </row>
    <row r="53" spans="1:17" ht="31.5" x14ac:dyDescent="0.25">
      <c r="A53" s="12" t="s">
        <v>80</v>
      </c>
      <c r="B53" s="17">
        <v>3410</v>
      </c>
      <c r="C53" s="16">
        <f>'рух грош коштів'!C78</f>
        <v>0</v>
      </c>
      <c r="D53" s="131">
        <f>'рух грош коштів'!D78</f>
        <v>0</v>
      </c>
      <c r="E53" s="127">
        <f t="shared" si="1"/>
        <v>0</v>
      </c>
      <c r="F53" s="193">
        <f>'рух грош коштів'!F78</f>
        <v>0</v>
      </c>
      <c r="G53" s="193" t="s">
        <v>75</v>
      </c>
      <c r="H53" s="193" t="s">
        <v>75</v>
      </c>
      <c r="I53" s="193" t="s">
        <v>75</v>
      </c>
      <c r="J53" s="193" t="s">
        <v>75</v>
      </c>
    </row>
    <row r="54" spans="1:17" s="128" customFormat="1" ht="31.5" x14ac:dyDescent="0.25">
      <c r="A54" s="125" t="s">
        <v>81</v>
      </c>
      <c r="B54" s="126">
        <v>3415</v>
      </c>
      <c r="C54" s="119">
        <f>'рух грош коштів'!C79</f>
        <v>12000.099999999991</v>
      </c>
      <c r="D54" s="119">
        <f>'рух грош коштів'!D79</f>
        <v>1306.5999999999985</v>
      </c>
      <c r="E54" s="127">
        <f t="shared" si="1"/>
        <v>1306.5999999999985</v>
      </c>
      <c r="F54" s="195">
        <f>'рух грош коштів'!F79</f>
        <v>-3514.9091686841502</v>
      </c>
      <c r="G54" s="195" t="s">
        <v>75</v>
      </c>
      <c r="H54" s="195" t="s">
        <v>75</v>
      </c>
      <c r="I54" s="195" t="s">
        <v>75</v>
      </c>
      <c r="J54" s="195" t="s">
        <v>75</v>
      </c>
    </row>
    <row r="55" spans="1:17" x14ac:dyDescent="0.25">
      <c r="A55" s="271" t="s">
        <v>82</v>
      </c>
      <c r="B55" s="271"/>
      <c r="C55" s="271"/>
      <c r="D55" s="271"/>
      <c r="E55" s="271"/>
      <c r="F55" s="271"/>
      <c r="G55" s="271"/>
      <c r="H55" s="271"/>
      <c r="I55" s="271"/>
      <c r="J55" s="271"/>
      <c r="K55" s="8"/>
      <c r="L55" s="8"/>
      <c r="M55" s="8"/>
      <c r="N55" s="8"/>
      <c r="O55" s="8"/>
      <c r="P55" s="8"/>
      <c r="Q55" s="8"/>
    </row>
    <row r="56" spans="1:17" x14ac:dyDescent="0.25">
      <c r="A56" s="12" t="s">
        <v>83</v>
      </c>
      <c r="B56" s="17">
        <v>4000</v>
      </c>
      <c r="C56" s="16">
        <f>'Капітальні інвестиції '!C5</f>
        <v>36073</v>
      </c>
      <c r="D56" s="9">
        <v>0</v>
      </c>
      <c r="E56" s="9">
        <v>0</v>
      </c>
      <c r="F56" s="193">
        <f>'Капітальні інвестиції '!F5</f>
        <v>0</v>
      </c>
      <c r="G56" s="193" t="s">
        <v>0</v>
      </c>
      <c r="H56" s="193" t="s">
        <v>0</v>
      </c>
      <c r="I56" s="193" t="s">
        <v>0</v>
      </c>
      <c r="J56" s="193" t="s">
        <v>0</v>
      </c>
      <c r="K56" s="8"/>
      <c r="L56" s="8"/>
      <c r="M56" s="8"/>
      <c r="N56" s="8"/>
      <c r="O56" s="8"/>
      <c r="P56" s="8"/>
      <c r="Q56" s="8"/>
    </row>
    <row r="57" spans="1:17" x14ac:dyDescent="0.25">
      <c r="A57" s="276" t="s">
        <v>84</v>
      </c>
      <c r="B57" s="277"/>
      <c r="C57" s="277"/>
      <c r="D57" s="277"/>
      <c r="E57" s="277"/>
      <c r="F57" s="277"/>
      <c r="G57" s="277"/>
      <c r="H57" s="277"/>
      <c r="I57" s="277"/>
      <c r="J57" s="278"/>
      <c r="K57" s="8"/>
      <c r="L57" s="8"/>
      <c r="M57" s="8"/>
      <c r="N57" s="8"/>
      <c r="O57" s="8"/>
      <c r="P57" s="8"/>
      <c r="Q57" s="8"/>
    </row>
    <row r="58" spans="1:17" s="8" customFormat="1" x14ac:dyDescent="0.25">
      <c r="A58" s="11" t="s">
        <v>85</v>
      </c>
      <c r="B58" s="10">
        <v>5040</v>
      </c>
      <c r="C58" s="9">
        <f>'Коефіцієнтний аналіз'!D9</f>
        <v>-7.579129574678503</v>
      </c>
      <c r="D58" s="132">
        <f>'Коефіцієнтний аналіз'!E9</f>
        <v>5.0775945097501905E-2</v>
      </c>
      <c r="E58" s="9">
        <f>D58</f>
        <v>5.0775945097501905E-2</v>
      </c>
      <c r="F58" s="196">
        <f>'Коефіцієнтний аналіз'!G9</f>
        <v>-30.756570510611112</v>
      </c>
      <c r="G58" s="196" t="s">
        <v>37</v>
      </c>
      <c r="H58" s="196" t="s">
        <v>37</v>
      </c>
      <c r="I58" s="196" t="s">
        <v>37</v>
      </c>
      <c r="J58" s="196" t="s">
        <v>37</v>
      </c>
    </row>
    <row r="59" spans="1:17" s="8" customFormat="1" x14ac:dyDescent="0.25">
      <c r="A59" s="11" t="s">
        <v>86</v>
      </c>
      <c r="B59" s="10">
        <v>5020</v>
      </c>
      <c r="C59" s="9">
        <f>'Коефіцієнтний аналіз'!D7</f>
        <v>-1.2963942053505282</v>
      </c>
      <c r="D59" s="132">
        <f>'Коефіцієнтний аналіз'!E7</f>
        <v>3.1253720681033458E-2</v>
      </c>
      <c r="E59" s="132">
        <f t="shared" ref="E59:E62" si="2">D59</f>
        <v>3.1253720681033458E-2</v>
      </c>
      <c r="F59" s="196">
        <f>'Коефіцієнтний аналіз'!G7</f>
        <v>-47.151289512931918</v>
      </c>
      <c r="G59" s="196" t="s">
        <v>75</v>
      </c>
      <c r="H59" s="196" t="s">
        <v>75</v>
      </c>
      <c r="I59" s="196" t="s">
        <v>75</v>
      </c>
      <c r="J59" s="196" t="s">
        <v>75</v>
      </c>
    </row>
    <row r="60" spans="1:17" s="8" customFormat="1" x14ac:dyDescent="0.25">
      <c r="A60" s="11" t="s">
        <v>87</v>
      </c>
      <c r="B60" s="10">
        <v>5030</v>
      </c>
      <c r="C60" s="9">
        <f>'Коефіцієнтний аналіз'!D8</f>
        <v>-1.3801352273606682</v>
      </c>
      <c r="D60" s="132">
        <f>'Коефіцієнтний аналіз'!E8</f>
        <v>1.3724518416451992E-2</v>
      </c>
      <c r="E60" s="132">
        <f t="shared" si="2"/>
        <v>1.3724518416451992E-2</v>
      </c>
      <c r="F60" s="196">
        <f>'Коефіцієнтний аналіз'!G8</f>
        <v>-10.374741259509882</v>
      </c>
      <c r="G60" s="196" t="s">
        <v>75</v>
      </c>
      <c r="H60" s="196" t="s">
        <v>75</v>
      </c>
      <c r="I60" s="196" t="s">
        <v>75</v>
      </c>
      <c r="J60" s="196" t="s">
        <v>75</v>
      </c>
    </row>
    <row r="61" spans="1:17" s="8" customFormat="1" x14ac:dyDescent="0.25">
      <c r="A61" s="11" t="s">
        <v>88</v>
      </c>
      <c r="B61" s="10">
        <v>5110</v>
      </c>
      <c r="C61" s="9">
        <f>'Коефіцієнтний аналіз'!D12</f>
        <v>15.480993355843591</v>
      </c>
      <c r="D61" s="132">
        <f>'Коефіцієнтний аналіз'!E12</f>
        <v>22.002756141402038</v>
      </c>
      <c r="E61" s="132">
        <f t="shared" si="2"/>
        <v>22.002756141402038</v>
      </c>
      <c r="F61" s="196">
        <f>'Коефіцієнтний аналіз'!G12</f>
        <v>9.9608087692794154</v>
      </c>
      <c r="G61" s="196" t="s">
        <v>75</v>
      </c>
      <c r="H61" s="196" t="s">
        <v>75</v>
      </c>
      <c r="I61" s="196" t="s">
        <v>75</v>
      </c>
      <c r="J61" s="196" t="s">
        <v>75</v>
      </c>
    </row>
    <row r="62" spans="1:17" s="8" customFormat="1" ht="31.5" x14ac:dyDescent="0.25">
      <c r="A62" s="11" t="s">
        <v>89</v>
      </c>
      <c r="B62" s="10">
        <v>5220</v>
      </c>
      <c r="C62" s="9">
        <f>'Коефіцієнтний аналіз'!D17</f>
        <v>0.43567740487147827</v>
      </c>
      <c r="D62" s="132">
        <f>'Коефіцієнтний аналіз'!E17</f>
        <v>0.206304262348427</v>
      </c>
      <c r="E62" s="132">
        <f t="shared" si="2"/>
        <v>0.206304262348427</v>
      </c>
      <c r="F62" s="196">
        <f>'Коефіцієнтний аналіз'!G17</f>
        <v>0.33485152880203978</v>
      </c>
      <c r="G62" s="196" t="s">
        <v>75</v>
      </c>
      <c r="H62" s="196" t="s">
        <v>75</v>
      </c>
      <c r="I62" s="196" t="s">
        <v>75</v>
      </c>
      <c r="J62" s="196" t="s">
        <v>75</v>
      </c>
    </row>
    <row r="63" spans="1:17" x14ac:dyDescent="0.25">
      <c r="A63" s="271" t="s">
        <v>90</v>
      </c>
      <c r="B63" s="271"/>
      <c r="C63" s="271"/>
      <c r="D63" s="271"/>
      <c r="E63" s="271"/>
      <c r="F63" s="271"/>
      <c r="G63" s="271"/>
      <c r="H63" s="271"/>
      <c r="I63" s="271"/>
      <c r="J63" s="271"/>
    </row>
    <row r="64" spans="1:17" ht="31.5" x14ac:dyDescent="0.25">
      <c r="A64" s="12" t="s">
        <v>91</v>
      </c>
      <c r="B64" s="17">
        <v>6000</v>
      </c>
      <c r="C64" s="131">
        <v>54279.4</v>
      </c>
      <c r="D64" s="185">
        <v>35123.1</v>
      </c>
      <c r="E64" s="9">
        <f>D64</f>
        <v>35123.1</v>
      </c>
      <c r="F64" s="193">
        <f>F65</f>
        <v>15991.300000000001</v>
      </c>
      <c r="G64" s="193" t="s">
        <v>75</v>
      </c>
      <c r="H64" s="193" t="s">
        <v>75</v>
      </c>
      <c r="I64" s="193" t="s">
        <v>75</v>
      </c>
      <c r="J64" s="193" t="s">
        <v>75</v>
      </c>
    </row>
    <row r="65" spans="1:129" x14ac:dyDescent="0.25">
      <c r="A65" s="12" t="s">
        <v>92</v>
      </c>
      <c r="B65" s="17">
        <v>6001</v>
      </c>
      <c r="C65" s="131">
        <f>C66-C67</f>
        <v>10055.1</v>
      </c>
      <c r="D65" s="185">
        <f>D66-D67</f>
        <v>35123.1</v>
      </c>
      <c r="E65" s="132">
        <f t="shared" ref="E65:E76" si="3">D65</f>
        <v>35123.1</v>
      </c>
      <c r="F65" s="193">
        <f>F66-F67</f>
        <v>15991.300000000001</v>
      </c>
      <c r="G65" s="193" t="s">
        <v>75</v>
      </c>
      <c r="H65" s="193" t="s">
        <v>75</v>
      </c>
      <c r="I65" s="193" t="s">
        <v>75</v>
      </c>
      <c r="J65" s="193" t="s">
        <v>75</v>
      </c>
    </row>
    <row r="66" spans="1:129" x14ac:dyDescent="0.25">
      <c r="A66" s="12" t="s">
        <v>93</v>
      </c>
      <c r="B66" s="17">
        <v>6002</v>
      </c>
      <c r="C66" s="131">
        <v>17818</v>
      </c>
      <c r="D66" s="9">
        <v>44252.6</v>
      </c>
      <c r="E66" s="132">
        <f t="shared" si="3"/>
        <v>44252.6</v>
      </c>
      <c r="F66" s="193">
        <v>24041.7</v>
      </c>
      <c r="G66" s="193" t="s">
        <v>75</v>
      </c>
      <c r="H66" s="193" t="s">
        <v>75</v>
      </c>
      <c r="I66" s="193" t="s">
        <v>75</v>
      </c>
      <c r="J66" s="193" t="s">
        <v>75</v>
      </c>
    </row>
    <row r="67" spans="1:129" x14ac:dyDescent="0.25">
      <c r="A67" s="12" t="s">
        <v>94</v>
      </c>
      <c r="B67" s="17">
        <v>6003</v>
      </c>
      <c r="C67" s="131">
        <v>7762.9</v>
      </c>
      <c r="D67" s="9">
        <v>9129.5</v>
      </c>
      <c r="E67" s="132">
        <f t="shared" si="3"/>
        <v>9129.5</v>
      </c>
      <c r="F67" s="193">
        <v>8050.4</v>
      </c>
      <c r="G67" s="193" t="s">
        <v>75</v>
      </c>
      <c r="H67" s="193" t="s">
        <v>75</v>
      </c>
      <c r="I67" s="193" t="s">
        <v>75</v>
      </c>
      <c r="J67" s="193" t="s">
        <v>75</v>
      </c>
    </row>
    <row r="68" spans="1:129" ht="31.5" x14ac:dyDescent="0.25">
      <c r="A68" s="12" t="s">
        <v>95</v>
      </c>
      <c r="B68" s="17">
        <v>6010</v>
      </c>
      <c r="C68" s="131">
        <v>21376.6</v>
      </c>
      <c r="D68" s="9">
        <v>5192.1000000000004</v>
      </c>
      <c r="E68" s="132">
        <f t="shared" si="3"/>
        <v>5192.1000000000004</v>
      </c>
      <c r="F68" s="193">
        <f>F69</f>
        <v>-3514.9091686841502</v>
      </c>
      <c r="G68" s="193" t="s">
        <v>75</v>
      </c>
      <c r="H68" s="193" t="s">
        <v>75</v>
      </c>
      <c r="I68" s="193" t="s">
        <v>75</v>
      </c>
      <c r="J68" s="193" t="s">
        <v>75</v>
      </c>
    </row>
    <row r="69" spans="1:129" x14ac:dyDescent="0.25">
      <c r="A69" s="12" t="s">
        <v>96</v>
      </c>
      <c r="B69" s="17">
        <v>6011</v>
      </c>
      <c r="C69" s="131">
        <v>12000.1</v>
      </c>
      <c r="D69" s="9">
        <v>1306.5999999999999</v>
      </c>
      <c r="E69" s="132">
        <f t="shared" si="3"/>
        <v>1306.5999999999999</v>
      </c>
      <c r="F69" s="196">
        <f>F54</f>
        <v>-3514.9091686841502</v>
      </c>
      <c r="G69" s="196" t="s">
        <v>75</v>
      </c>
      <c r="H69" s="193" t="s">
        <v>75</v>
      </c>
      <c r="I69" s="193" t="s">
        <v>75</v>
      </c>
      <c r="J69" s="193" t="s">
        <v>75</v>
      </c>
    </row>
    <row r="70" spans="1:129" s="128" customFormat="1" x14ac:dyDescent="0.25">
      <c r="A70" s="125" t="s">
        <v>97</v>
      </c>
      <c r="B70" s="126">
        <v>6020</v>
      </c>
      <c r="C70" s="119">
        <f>C68+C64</f>
        <v>75656</v>
      </c>
      <c r="D70" s="119">
        <f>D68+D64</f>
        <v>40315.199999999997</v>
      </c>
      <c r="E70" s="132">
        <f t="shared" si="3"/>
        <v>40315.199999999997</v>
      </c>
      <c r="F70" s="197">
        <f>F68+F64</f>
        <v>12476.39083131585</v>
      </c>
      <c r="G70" s="197" t="s">
        <v>75</v>
      </c>
      <c r="H70" s="195" t="s">
        <v>75</v>
      </c>
      <c r="I70" s="195" t="s">
        <v>75</v>
      </c>
      <c r="J70" s="195" t="s">
        <v>75</v>
      </c>
    </row>
    <row r="71" spans="1:129" ht="31.5" x14ac:dyDescent="0.25">
      <c r="A71" s="12" t="s">
        <v>98</v>
      </c>
      <c r="B71" s="17">
        <v>6030</v>
      </c>
      <c r="C71" s="16">
        <v>0</v>
      </c>
      <c r="D71" s="9">
        <f t="shared" ref="D71:D75" si="4">F71</f>
        <v>0</v>
      </c>
      <c r="E71" s="132">
        <f t="shared" si="3"/>
        <v>0</v>
      </c>
      <c r="F71" s="196">
        <v>0</v>
      </c>
      <c r="G71" s="196" t="s">
        <v>75</v>
      </c>
      <c r="H71" s="193" t="s">
        <v>75</v>
      </c>
      <c r="I71" s="193" t="s">
        <v>75</v>
      </c>
      <c r="J71" s="193" t="s">
        <v>75</v>
      </c>
    </row>
    <row r="72" spans="1:129" ht="31.5" x14ac:dyDescent="0.25">
      <c r="A72" s="12" t="s">
        <v>99</v>
      </c>
      <c r="B72" s="17">
        <v>6040</v>
      </c>
      <c r="C72" s="16">
        <v>4590.5</v>
      </c>
      <c r="D72" s="185">
        <v>4172.5</v>
      </c>
      <c r="E72" s="132">
        <f t="shared" si="3"/>
        <v>4172.5</v>
      </c>
      <c r="F72" s="196">
        <v>5692.6</v>
      </c>
      <c r="G72" s="196" t="s">
        <v>75</v>
      </c>
      <c r="H72" s="193" t="s">
        <v>75</v>
      </c>
      <c r="I72" s="193" t="s">
        <v>75</v>
      </c>
      <c r="J72" s="193" t="s">
        <v>75</v>
      </c>
    </row>
    <row r="73" spans="1:129" s="128" customFormat="1" ht="31.5" x14ac:dyDescent="0.25">
      <c r="A73" s="125" t="s">
        <v>100</v>
      </c>
      <c r="B73" s="126">
        <v>6050</v>
      </c>
      <c r="C73" s="119">
        <f>C72+C71</f>
        <v>4590.5</v>
      </c>
      <c r="D73" s="119">
        <f>D72+D71</f>
        <v>4172.5</v>
      </c>
      <c r="E73" s="132">
        <f t="shared" si="3"/>
        <v>4172.5</v>
      </c>
      <c r="F73" s="197">
        <f>F72+F71</f>
        <v>5692.6</v>
      </c>
      <c r="G73" s="197" t="s">
        <v>75</v>
      </c>
      <c r="H73" s="195" t="s">
        <v>75</v>
      </c>
      <c r="I73" s="195" t="s">
        <v>75</v>
      </c>
      <c r="J73" s="195" t="s">
        <v>75</v>
      </c>
    </row>
    <row r="74" spans="1:129" ht="31.5" x14ac:dyDescent="0.25">
      <c r="A74" s="12" t="s">
        <v>101</v>
      </c>
      <c r="B74" s="17">
        <v>6060</v>
      </c>
      <c r="C74" s="16">
        <v>0</v>
      </c>
      <c r="D74" s="9">
        <f t="shared" si="4"/>
        <v>0</v>
      </c>
      <c r="E74" s="132">
        <f t="shared" si="3"/>
        <v>0</v>
      </c>
      <c r="F74" s="196">
        <v>0</v>
      </c>
      <c r="G74" s="196" t="s">
        <v>0</v>
      </c>
      <c r="H74" s="193" t="s">
        <v>0</v>
      </c>
      <c r="I74" s="193" t="s">
        <v>0</v>
      </c>
      <c r="J74" s="193" t="s">
        <v>0</v>
      </c>
    </row>
    <row r="75" spans="1:129" ht="31.5" x14ac:dyDescent="0.25">
      <c r="A75" s="12" t="s">
        <v>102</v>
      </c>
      <c r="B75" s="17">
        <v>6070</v>
      </c>
      <c r="C75" s="16">
        <v>0</v>
      </c>
      <c r="D75" s="9">
        <f t="shared" si="4"/>
        <v>0</v>
      </c>
      <c r="E75" s="132">
        <f t="shared" si="3"/>
        <v>0</v>
      </c>
      <c r="F75" s="196">
        <v>0</v>
      </c>
      <c r="G75" s="196" t="s">
        <v>75</v>
      </c>
      <c r="H75" s="193" t="s">
        <v>75</v>
      </c>
      <c r="I75" s="193" t="s">
        <v>75</v>
      </c>
      <c r="J75" s="193" t="s">
        <v>75</v>
      </c>
    </row>
    <row r="76" spans="1:129" s="128" customFormat="1" x14ac:dyDescent="0.25">
      <c r="A76" s="125" t="s">
        <v>103</v>
      </c>
      <c r="B76" s="126">
        <v>6080</v>
      </c>
      <c r="C76" s="119">
        <v>71065.5</v>
      </c>
      <c r="D76" s="127">
        <v>91806.5</v>
      </c>
      <c r="E76" s="132">
        <f t="shared" si="3"/>
        <v>91806.5</v>
      </c>
      <c r="F76" s="197">
        <v>56702.9</v>
      </c>
      <c r="G76" s="197" t="s">
        <v>75</v>
      </c>
      <c r="H76" s="195" t="s">
        <v>75</v>
      </c>
      <c r="I76" s="195" t="s">
        <v>75</v>
      </c>
      <c r="J76" s="195" t="s">
        <v>75</v>
      </c>
    </row>
    <row r="77" spans="1:129" s="13" customFormat="1" x14ac:dyDescent="0.25">
      <c r="A77" s="271" t="s">
        <v>104</v>
      </c>
      <c r="B77" s="271"/>
      <c r="C77" s="271"/>
      <c r="D77" s="271"/>
      <c r="E77" s="271"/>
      <c r="F77" s="271"/>
      <c r="G77" s="271"/>
      <c r="H77" s="271"/>
      <c r="I77" s="271"/>
      <c r="J77" s="271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  <c r="DX77" s="15"/>
      <c r="DY77" s="15"/>
    </row>
    <row r="78" spans="1:129" s="25" customFormat="1" ht="31.5" x14ac:dyDescent="0.25">
      <c r="A78" s="125" t="s">
        <v>105</v>
      </c>
      <c r="B78" s="126">
        <v>7000</v>
      </c>
      <c r="C78" s="119">
        <f>SUM(C79:C81)</f>
        <v>0</v>
      </c>
      <c r="D78" s="127">
        <f t="shared" ref="D78:D85" si="5">F78</f>
        <v>0</v>
      </c>
      <c r="E78" s="127">
        <f t="shared" ref="E78:E85" si="6">F78</f>
        <v>0</v>
      </c>
      <c r="F78" s="195">
        <v>0</v>
      </c>
      <c r="G78" s="195" t="s">
        <v>37</v>
      </c>
      <c r="H78" s="195" t="s">
        <v>37</v>
      </c>
      <c r="I78" s="195" t="s">
        <v>37</v>
      </c>
      <c r="J78" s="195" t="s">
        <v>37</v>
      </c>
      <c r="K78" s="128"/>
      <c r="L78" s="128"/>
      <c r="M78" s="128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  <c r="AH78" s="128"/>
      <c r="AI78" s="128"/>
      <c r="AJ78" s="128"/>
      <c r="AK78" s="128"/>
      <c r="AL78" s="128"/>
      <c r="AM78" s="128"/>
      <c r="AN78" s="128"/>
      <c r="AO78" s="128"/>
      <c r="AP78" s="128"/>
      <c r="AQ78" s="128"/>
      <c r="AR78" s="128"/>
      <c r="AS78" s="128"/>
      <c r="AT78" s="128"/>
      <c r="AU78" s="128"/>
      <c r="AV78" s="128"/>
      <c r="AW78" s="128"/>
      <c r="AX78" s="128"/>
      <c r="AY78" s="128"/>
      <c r="AZ78" s="128"/>
      <c r="BA78" s="128"/>
      <c r="BB78" s="128"/>
      <c r="BC78" s="128"/>
      <c r="BD78" s="128"/>
      <c r="BE78" s="128"/>
      <c r="BF78" s="128"/>
      <c r="BG78" s="128"/>
      <c r="BH78" s="128"/>
      <c r="BI78" s="128"/>
      <c r="BJ78" s="128"/>
      <c r="BK78" s="128"/>
      <c r="BL78" s="128"/>
      <c r="BM78" s="128"/>
      <c r="BN78" s="128"/>
      <c r="BO78" s="128"/>
      <c r="BP78" s="128"/>
      <c r="BQ78" s="128"/>
      <c r="BR78" s="128"/>
      <c r="BS78" s="128"/>
      <c r="BT78" s="128"/>
      <c r="BU78" s="128"/>
      <c r="BV78" s="128"/>
      <c r="BW78" s="128"/>
      <c r="BX78" s="128"/>
      <c r="BY78" s="128"/>
      <c r="BZ78" s="128"/>
      <c r="CA78" s="128"/>
      <c r="CB78" s="128"/>
      <c r="CC78" s="128"/>
      <c r="CD78" s="128"/>
      <c r="CE78" s="128"/>
      <c r="CF78" s="128"/>
      <c r="CG78" s="128"/>
      <c r="CH78" s="128"/>
      <c r="CI78" s="128"/>
      <c r="CJ78" s="128"/>
      <c r="CK78" s="128"/>
      <c r="CL78" s="128"/>
      <c r="CM78" s="128"/>
      <c r="CN78" s="128"/>
      <c r="CO78" s="128"/>
      <c r="CP78" s="128"/>
      <c r="CQ78" s="128"/>
      <c r="CR78" s="128"/>
      <c r="CS78" s="128"/>
      <c r="CT78" s="128"/>
      <c r="CU78" s="128"/>
      <c r="CV78" s="128"/>
      <c r="CW78" s="128"/>
      <c r="CX78" s="128"/>
      <c r="CY78" s="128"/>
      <c r="CZ78" s="128"/>
      <c r="DA78" s="128"/>
      <c r="DB78" s="128"/>
      <c r="DC78" s="128"/>
      <c r="DD78" s="128"/>
      <c r="DE78" s="128"/>
      <c r="DF78" s="128"/>
      <c r="DG78" s="128"/>
      <c r="DH78" s="128"/>
      <c r="DI78" s="128"/>
      <c r="DJ78" s="128"/>
      <c r="DK78" s="128"/>
      <c r="DL78" s="128"/>
      <c r="DM78" s="128"/>
      <c r="DN78" s="128"/>
      <c r="DO78" s="128"/>
      <c r="DP78" s="128"/>
      <c r="DQ78" s="128"/>
      <c r="DR78" s="128"/>
      <c r="DS78" s="128"/>
      <c r="DT78" s="128"/>
      <c r="DU78" s="128"/>
      <c r="DV78" s="128"/>
      <c r="DW78" s="128"/>
      <c r="DX78" s="128"/>
      <c r="DY78" s="128"/>
    </row>
    <row r="79" spans="1:129" s="13" customFormat="1" x14ac:dyDescent="0.25">
      <c r="A79" s="12" t="s">
        <v>106</v>
      </c>
      <c r="B79" s="17">
        <v>7001</v>
      </c>
      <c r="C79" s="16">
        <v>0</v>
      </c>
      <c r="D79" s="9">
        <f t="shared" si="5"/>
        <v>0</v>
      </c>
      <c r="E79" s="9">
        <f t="shared" si="6"/>
        <v>0</v>
      </c>
      <c r="F79" s="193">
        <v>0</v>
      </c>
      <c r="G79" s="193" t="s">
        <v>37</v>
      </c>
      <c r="H79" s="193" t="s">
        <v>0</v>
      </c>
      <c r="I79" s="193" t="s">
        <v>0</v>
      </c>
      <c r="J79" s="193" t="s">
        <v>0</v>
      </c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  <c r="DX79" s="15"/>
      <c r="DY79" s="15"/>
    </row>
    <row r="80" spans="1:129" s="13" customFormat="1" x14ac:dyDescent="0.25">
      <c r="A80" s="12" t="s">
        <v>107</v>
      </c>
      <c r="B80" s="17">
        <v>7002</v>
      </c>
      <c r="C80" s="16">
        <v>0</v>
      </c>
      <c r="D80" s="9">
        <f t="shared" si="5"/>
        <v>0</v>
      </c>
      <c r="E80" s="9">
        <f t="shared" si="6"/>
        <v>0</v>
      </c>
      <c r="F80" s="193">
        <v>0</v>
      </c>
      <c r="G80" s="193" t="s">
        <v>37</v>
      </c>
      <c r="H80" s="193" t="s">
        <v>0</v>
      </c>
      <c r="I80" s="193" t="s">
        <v>0</v>
      </c>
      <c r="J80" s="193" t="s">
        <v>0</v>
      </c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</row>
    <row r="81" spans="1:129" s="13" customFormat="1" x14ac:dyDescent="0.25">
      <c r="A81" s="12" t="s">
        <v>108</v>
      </c>
      <c r="B81" s="17">
        <v>7003</v>
      </c>
      <c r="C81" s="16">
        <v>0</v>
      </c>
      <c r="D81" s="9">
        <f t="shared" si="5"/>
        <v>0</v>
      </c>
      <c r="E81" s="9">
        <f t="shared" si="6"/>
        <v>0</v>
      </c>
      <c r="F81" s="193">
        <v>0</v>
      </c>
      <c r="G81" s="193" t="s">
        <v>37</v>
      </c>
      <c r="H81" s="193" t="s">
        <v>0</v>
      </c>
      <c r="I81" s="193" t="s">
        <v>0</v>
      </c>
      <c r="J81" s="193" t="s">
        <v>0</v>
      </c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  <c r="DU81" s="15"/>
      <c r="DV81" s="15"/>
      <c r="DW81" s="15"/>
      <c r="DX81" s="15"/>
      <c r="DY81" s="15"/>
    </row>
    <row r="82" spans="1:129" s="25" customFormat="1" ht="31.5" x14ac:dyDescent="0.25">
      <c r="A82" s="125" t="s">
        <v>109</v>
      </c>
      <c r="B82" s="126">
        <v>7010</v>
      </c>
      <c r="C82" s="119">
        <f>SUM(C83:C85)</f>
        <v>0</v>
      </c>
      <c r="D82" s="127">
        <f t="shared" si="5"/>
        <v>0</v>
      </c>
      <c r="E82" s="127">
        <f t="shared" si="6"/>
        <v>0</v>
      </c>
      <c r="F82" s="195">
        <v>0</v>
      </c>
      <c r="G82" s="195" t="s">
        <v>37</v>
      </c>
      <c r="H82" s="195" t="s">
        <v>37</v>
      </c>
      <c r="I82" s="195" t="s">
        <v>37</v>
      </c>
      <c r="J82" s="195" t="s">
        <v>37</v>
      </c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8"/>
      <c r="BH82" s="128"/>
      <c r="BI82" s="128"/>
      <c r="BJ82" s="128"/>
      <c r="BK82" s="128"/>
      <c r="BL82" s="128"/>
      <c r="BM82" s="128"/>
      <c r="BN82" s="128"/>
      <c r="BO82" s="128"/>
      <c r="BP82" s="128"/>
      <c r="BQ82" s="128"/>
      <c r="BR82" s="128"/>
      <c r="BS82" s="128"/>
      <c r="BT82" s="128"/>
      <c r="BU82" s="128"/>
      <c r="BV82" s="128"/>
      <c r="BW82" s="128"/>
      <c r="BX82" s="128"/>
      <c r="BY82" s="128"/>
      <c r="BZ82" s="128"/>
      <c r="CA82" s="128"/>
      <c r="CB82" s="128"/>
      <c r="CC82" s="128"/>
      <c r="CD82" s="128"/>
      <c r="CE82" s="128"/>
      <c r="CF82" s="128"/>
      <c r="CG82" s="128"/>
      <c r="CH82" s="128"/>
      <c r="CI82" s="128"/>
      <c r="CJ82" s="128"/>
      <c r="CK82" s="128"/>
      <c r="CL82" s="128"/>
      <c r="CM82" s="128"/>
      <c r="CN82" s="128"/>
      <c r="CO82" s="128"/>
      <c r="CP82" s="128"/>
      <c r="CQ82" s="128"/>
      <c r="CR82" s="128"/>
      <c r="CS82" s="128"/>
      <c r="CT82" s="128"/>
      <c r="CU82" s="128"/>
      <c r="CV82" s="128"/>
      <c r="CW82" s="128"/>
      <c r="CX82" s="128"/>
      <c r="CY82" s="128"/>
      <c r="CZ82" s="128"/>
      <c r="DA82" s="128"/>
      <c r="DB82" s="128"/>
      <c r="DC82" s="128"/>
      <c r="DD82" s="128"/>
      <c r="DE82" s="128"/>
      <c r="DF82" s="128"/>
      <c r="DG82" s="128"/>
      <c r="DH82" s="128"/>
      <c r="DI82" s="128"/>
      <c r="DJ82" s="128"/>
      <c r="DK82" s="128"/>
      <c r="DL82" s="128"/>
      <c r="DM82" s="128"/>
      <c r="DN82" s="128"/>
      <c r="DO82" s="128"/>
      <c r="DP82" s="128"/>
      <c r="DQ82" s="128"/>
      <c r="DR82" s="128"/>
      <c r="DS82" s="128"/>
      <c r="DT82" s="128"/>
      <c r="DU82" s="128"/>
      <c r="DV82" s="128"/>
      <c r="DW82" s="128"/>
      <c r="DX82" s="128"/>
      <c r="DY82" s="128"/>
    </row>
    <row r="83" spans="1:129" s="13" customFormat="1" x14ac:dyDescent="0.25">
      <c r="A83" s="12" t="s">
        <v>106</v>
      </c>
      <c r="B83" s="17">
        <v>7011</v>
      </c>
      <c r="C83" s="16">
        <v>0</v>
      </c>
      <c r="D83" s="9">
        <f t="shared" si="5"/>
        <v>0</v>
      </c>
      <c r="E83" s="9">
        <f t="shared" si="6"/>
        <v>0</v>
      </c>
      <c r="F83" s="193">
        <v>0</v>
      </c>
      <c r="G83" s="193" t="s">
        <v>37</v>
      </c>
      <c r="H83" s="193" t="s">
        <v>0</v>
      </c>
      <c r="I83" s="193" t="s">
        <v>0</v>
      </c>
      <c r="J83" s="193" t="s">
        <v>0</v>
      </c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  <c r="DS83" s="15"/>
      <c r="DT83" s="15"/>
      <c r="DU83" s="15"/>
      <c r="DV83" s="15"/>
      <c r="DW83" s="15"/>
      <c r="DX83" s="15"/>
      <c r="DY83" s="15"/>
    </row>
    <row r="84" spans="1:129" s="13" customFormat="1" x14ac:dyDescent="0.25">
      <c r="A84" s="12" t="s">
        <v>107</v>
      </c>
      <c r="B84" s="17">
        <v>7012</v>
      </c>
      <c r="C84" s="16">
        <v>0</v>
      </c>
      <c r="D84" s="9">
        <f t="shared" si="5"/>
        <v>0</v>
      </c>
      <c r="E84" s="9">
        <f t="shared" si="6"/>
        <v>0</v>
      </c>
      <c r="F84" s="193">
        <v>0</v>
      </c>
      <c r="G84" s="193" t="s">
        <v>37</v>
      </c>
      <c r="H84" s="193" t="s">
        <v>0</v>
      </c>
      <c r="I84" s="193" t="s">
        <v>0</v>
      </c>
      <c r="J84" s="193" t="s">
        <v>0</v>
      </c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  <c r="DS84" s="15"/>
      <c r="DT84" s="15"/>
      <c r="DU84" s="15"/>
      <c r="DV84" s="15"/>
      <c r="DW84" s="15"/>
      <c r="DX84" s="15"/>
      <c r="DY84" s="15"/>
    </row>
    <row r="85" spans="1:129" s="13" customFormat="1" x14ac:dyDescent="0.25">
      <c r="A85" s="12" t="s">
        <v>108</v>
      </c>
      <c r="B85" s="17">
        <v>7013</v>
      </c>
      <c r="C85" s="16">
        <v>0</v>
      </c>
      <c r="D85" s="9">
        <f t="shared" si="5"/>
        <v>0</v>
      </c>
      <c r="E85" s="9">
        <f t="shared" si="6"/>
        <v>0</v>
      </c>
      <c r="F85" s="193">
        <v>0</v>
      </c>
      <c r="G85" s="193" t="s">
        <v>37</v>
      </c>
      <c r="H85" s="193" t="s">
        <v>0</v>
      </c>
      <c r="I85" s="193" t="s">
        <v>0</v>
      </c>
      <c r="J85" s="193" t="s">
        <v>0</v>
      </c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  <c r="DS85" s="15"/>
      <c r="DT85" s="15"/>
      <c r="DU85" s="15"/>
      <c r="DV85" s="15"/>
      <c r="DW85" s="15"/>
      <c r="DX85" s="15"/>
      <c r="DY85" s="15"/>
    </row>
    <row r="86" spans="1:129" s="13" customFormat="1" ht="31.5" customHeight="1" x14ac:dyDescent="0.25">
      <c r="A86" s="271" t="s">
        <v>110</v>
      </c>
      <c r="B86" s="271"/>
      <c r="C86" s="271"/>
      <c r="D86" s="271"/>
      <c r="E86" s="271"/>
      <c r="F86" s="271"/>
      <c r="G86" s="271"/>
      <c r="H86" s="271"/>
      <c r="I86" s="271"/>
      <c r="J86" s="271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  <c r="DS86" s="15"/>
      <c r="DT86" s="15"/>
      <c r="DU86" s="15"/>
      <c r="DV86" s="15"/>
      <c r="DW86" s="15"/>
      <c r="DX86" s="15"/>
      <c r="DY86" s="15"/>
    </row>
    <row r="87" spans="1:129" s="25" customFormat="1" ht="94.5" x14ac:dyDescent="0.25">
      <c r="A87" s="125" t="s">
        <v>111</v>
      </c>
      <c r="B87" s="126">
        <v>8000</v>
      </c>
      <c r="C87" s="119">
        <f>'дані про персонал'!B7</f>
        <v>17</v>
      </c>
      <c r="D87" s="119">
        <f>'дані про персонал'!C7</f>
        <v>63</v>
      </c>
      <c r="E87" s="127">
        <f>D87</f>
        <v>63</v>
      </c>
      <c r="F87" s="195">
        <f>'дані про персонал'!E7</f>
        <v>58</v>
      </c>
      <c r="G87" s="195" t="s">
        <v>75</v>
      </c>
      <c r="H87" s="195" t="s">
        <v>75</v>
      </c>
      <c r="I87" s="195" t="s">
        <v>75</v>
      </c>
      <c r="J87" s="195" t="s">
        <v>75</v>
      </c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  <c r="AH87" s="128"/>
      <c r="AI87" s="128"/>
      <c r="AJ87" s="128"/>
      <c r="AK87" s="128"/>
      <c r="AL87" s="128"/>
      <c r="AM87" s="128"/>
      <c r="AN87" s="128"/>
      <c r="AO87" s="128"/>
      <c r="AP87" s="128"/>
      <c r="AQ87" s="128"/>
      <c r="AR87" s="128"/>
      <c r="AS87" s="128"/>
      <c r="AT87" s="128"/>
      <c r="AU87" s="128"/>
      <c r="AV87" s="128"/>
      <c r="AW87" s="128"/>
      <c r="AX87" s="128"/>
      <c r="AY87" s="128"/>
      <c r="AZ87" s="128"/>
      <c r="BA87" s="128"/>
      <c r="BB87" s="128"/>
      <c r="BC87" s="128"/>
      <c r="BD87" s="128"/>
      <c r="BE87" s="128"/>
      <c r="BF87" s="128"/>
      <c r="BG87" s="128"/>
      <c r="BH87" s="128"/>
      <c r="BI87" s="128"/>
      <c r="BJ87" s="128"/>
      <c r="BK87" s="128"/>
      <c r="BL87" s="128"/>
      <c r="BM87" s="128"/>
      <c r="BN87" s="128"/>
      <c r="BO87" s="128"/>
      <c r="BP87" s="128"/>
      <c r="BQ87" s="128"/>
      <c r="BR87" s="128"/>
      <c r="BS87" s="128"/>
      <c r="BT87" s="128"/>
      <c r="BU87" s="128"/>
      <c r="BV87" s="128"/>
      <c r="BW87" s="128"/>
      <c r="BX87" s="128"/>
      <c r="BY87" s="128"/>
      <c r="BZ87" s="128"/>
      <c r="CA87" s="128"/>
      <c r="CB87" s="128"/>
      <c r="CC87" s="128"/>
      <c r="CD87" s="128"/>
      <c r="CE87" s="128"/>
      <c r="CF87" s="128"/>
      <c r="CG87" s="128"/>
      <c r="CH87" s="128"/>
      <c r="CI87" s="128"/>
      <c r="CJ87" s="128"/>
      <c r="CK87" s="128"/>
      <c r="CL87" s="128"/>
      <c r="CM87" s="128"/>
      <c r="CN87" s="128"/>
      <c r="CO87" s="128"/>
      <c r="CP87" s="128"/>
      <c r="CQ87" s="128"/>
      <c r="CR87" s="128"/>
      <c r="CS87" s="128"/>
      <c r="CT87" s="128"/>
      <c r="CU87" s="128"/>
      <c r="CV87" s="128"/>
      <c r="CW87" s="128"/>
      <c r="CX87" s="128"/>
      <c r="CY87" s="128"/>
      <c r="CZ87" s="128"/>
      <c r="DA87" s="128"/>
      <c r="DB87" s="128"/>
      <c r="DC87" s="128"/>
      <c r="DD87" s="128"/>
      <c r="DE87" s="128"/>
      <c r="DF87" s="128"/>
      <c r="DG87" s="128"/>
      <c r="DH87" s="128"/>
      <c r="DI87" s="128"/>
      <c r="DJ87" s="128"/>
      <c r="DK87" s="128"/>
      <c r="DL87" s="128"/>
      <c r="DM87" s="128"/>
      <c r="DN87" s="128"/>
      <c r="DO87" s="128"/>
      <c r="DP87" s="128"/>
      <c r="DQ87" s="128"/>
      <c r="DR87" s="128"/>
      <c r="DS87" s="128"/>
      <c r="DT87" s="128"/>
      <c r="DU87" s="128"/>
      <c r="DV87" s="128"/>
      <c r="DW87" s="128"/>
      <c r="DX87" s="128"/>
      <c r="DY87" s="128"/>
    </row>
    <row r="88" spans="1:129" s="13" customFormat="1" x14ac:dyDescent="0.25">
      <c r="A88" s="12" t="s">
        <v>112</v>
      </c>
      <c r="B88" s="17">
        <v>8001</v>
      </c>
      <c r="C88" s="16">
        <f>'дані про персонал'!B8</f>
        <v>0</v>
      </c>
      <c r="D88" s="131">
        <f>'дані про персонал'!C8</f>
        <v>0</v>
      </c>
      <c r="E88" s="127">
        <f t="shared" ref="E88:E99" si="7">D88</f>
        <v>0</v>
      </c>
      <c r="F88" s="193">
        <f>'дані про персонал'!E8</f>
        <v>0</v>
      </c>
      <c r="G88" s="193" t="s">
        <v>75</v>
      </c>
      <c r="H88" s="193" t="s">
        <v>75</v>
      </c>
      <c r="I88" s="193" t="s">
        <v>75</v>
      </c>
      <c r="J88" s="193" t="s">
        <v>75</v>
      </c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  <c r="DS88" s="15"/>
      <c r="DT88" s="15"/>
      <c r="DU88" s="15"/>
      <c r="DV88" s="15"/>
      <c r="DW88" s="15"/>
      <c r="DX88" s="15"/>
      <c r="DY88" s="15"/>
    </row>
    <row r="89" spans="1:129" s="13" customFormat="1" x14ac:dyDescent="0.25">
      <c r="A89" s="12" t="s">
        <v>113</v>
      </c>
      <c r="B89" s="17">
        <v>8002</v>
      </c>
      <c r="C89" s="16">
        <f>'дані про персонал'!B9</f>
        <v>0</v>
      </c>
      <c r="D89" s="131">
        <f>'дані про персонал'!C9</f>
        <v>0</v>
      </c>
      <c r="E89" s="127">
        <f t="shared" si="7"/>
        <v>0</v>
      </c>
      <c r="F89" s="193">
        <f>'дані про персонал'!E9</f>
        <v>0</v>
      </c>
      <c r="G89" s="193" t="s">
        <v>75</v>
      </c>
      <c r="H89" s="193" t="s">
        <v>75</v>
      </c>
      <c r="I89" s="193" t="s">
        <v>75</v>
      </c>
      <c r="J89" s="193" t="s">
        <v>75</v>
      </c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  <c r="DU89" s="15"/>
      <c r="DV89" s="15"/>
      <c r="DW89" s="15"/>
      <c r="DX89" s="15"/>
      <c r="DY89" s="15"/>
    </row>
    <row r="90" spans="1:129" s="13" customFormat="1" x14ac:dyDescent="0.25">
      <c r="A90" s="12" t="s">
        <v>114</v>
      </c>
      <c r="B90" s="17">
        <v>8003</v>
      </c>
      <c r="C90" s="16">
        <f>'дані про персонал'!B10</f>
        <v>1</v>
      </c>
      <c r="D90" s="131">
        <f>'дані про персонал'!C10</f>
        <v>1</v>
      </c>
      <c r="E90" s="127">
        <f t="shared" si="7"/>
        <v>1</v>
      </c>
      <c r="F90" s="193">
        <f>'дані про персонал'!E10</f>
        <v>1</v>
      </c>
      <c r="G90" s="193" t="s">
        <v>75</v>
      </c>
      <c r="H90" s="193" t="s">
        <v>75</v>
      </c>
      <c r="I90" s="193" t="s">
        <v>75</v>
      </c>
      <c r="J90" s="193" t="s">
        <v>75</v>
      </c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  <c r="DS90" s="15"/>
      <c r="DT90" s="15"/>
      <c r="DU90" s="15"/>
      <c r="DV90" s="15"/>
      <c r="DW90" s="15"/>
      <c r="DX90" s="15"/>
      <c r="DY90" s="15"/>
    </row>
    <row r="91" spans="1:129" s="13" customFormat="1" ht="31.5" x14ac:dyDescent="0.25">
      <c r="A91" s="12" t="s">
        <v>115</v>
      </c>
      <c r="B91" s="17">
        <v>8004</v>
      </c>
      <c r="C91" s="16">
        <f>'дані про персонал'!B11</f>
        <v>2</v>
      </c>
      <c r="D91" s="131">
        <f>'дані про персонал'!C11</f>
        <v>12</v>
      </c>
      <c r="E91" s="127">
        <f t="shared" si="7"/>
        <v>12</v>
      </c>
      <c r="F91" s="193">
        <f>'дані про персонал'!E11</f>
        <v>11</v>
      </c>
      <c r="G91" s="193" t="s">
        <v>75</v>
      </c>
      <c r="H91" s="193" t="s">
        <v>75</v>
      </c>
      <c r="I91" s="193" t="s">
        <v>75</v>
      </c>
      <c r="J91" s="193" t="s">
        <v>75</v>
      </c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  <c r="DS91" s="15"/>
      <c r="DT91" s="15"/>
      <c r="DU91" s="15"/>
      <c r="DV91" s="15"/>
      <c r="DW91" s="15"/>
      <c r="DX91" s="15"/>
      <c r="DY91" s="15"/>
    </row>
    <row r="92" spans="1:129" s="13" customFormat="1" x14ac:dyDescent="0.25">
      <c r="A92" s="12" t="s">
        <v>116</v>
      </c>
      <c r="B92" s="17">
        <v>8005</v>
      </c>
      <c r="C92" s="16">
        <f>'дані про персонал'!B12</f>
        <v>14</v>
      </c>
      <c r="D92" s="131">
        <f>'дані про персонал'!C12</f>
        <v>50</v>
      </c>
      <c r="E92" s="127">
        <f t="shared" si="7"/>
        <v>50</v>
      </c>
      <c r="F92" s="193">
        <f>'дані про персонал'!E12</f>
        <v>46</v>
      </c>
      <c r="G92" s="193" t="s">
        <v>75</v>
      </c>
      <c r="H92" s="193" t="s">
        <v>75</v>
      </c>
      <c r="I92" s="193" t="s">
        <v>75</v>
      </c>
      <c r="J92" s="193" t="s">
        <v>75</v>
      </c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  <c r="DS92" s="15"/>
      <c r="DT92" s="15"/>
      <c r="DU92" s="15"/>
      <c r="DV92" s="15"/>
      <c r="DW92" s="15"/>
      <c r="DX92" s="15"/>
      <c r="DY92" s="15"/>
    </row>
    <row r="93" spans="1:129" s="128" customFormat="1" x14ac:dyDescent="0.25">
      <c r="A93" s="125" t="s">
        <v>117</v>
      </c>
      <c r="B93" s="126">
        <v>8010</v>
      </c>
      <c r="C93" s="119">
        <f>'дані про персонал'!B19</f>
        <v>5441.6</v>
      </c>
      <c r="D93" s="119">
        <f>'дані про персонал'!C19</f>
        <v>7022.5</v>
      </c>
      <c r="E93" s="127">
        <f t="shared" si="7"/>
        <v>7022.5</v>
      </c>
      <c r="F93" s="195">
        <f>'дані про персонал'!E19</f>
        <v>7150.6</v>
      </c>
      <c r="G93" s="195" t="s">
        <v>75</v>
      </c>
      <c r="H93" s="195" t="s">
        <v>75</v>
      </c>
      <c r="I93" s="195" t="s">
        <v>75</v>
      </c>
      <c r="J93" s="195" t="s">
        <v>75</v>
      </c>
    </row>
    <row r="94" spans="1:129" s="128" customFormat="1" ht="47.25" x14ac:dyDescent="0.25">
      <c r="A94" s="125" t="s">
        <v>118</v>
      </c>
      <c r="B94" s="126">
        <v>8020</v>
      </c>
      <c r="C94" s="119">
        <f>'дані про персонал'!B25</f>
        <v>26674.50980392157</v>
      </c>
      <c r="D94" s="119">
        <f>'дані про персонал'!C25</f>
        <v>9289.0211640211637</v>
      </c>
      <c r="E94" s="127">
        <f t="shared" si="7"/>
        <v>9289.0211640211637</v>
      </c>
      <c r="F94" s="195">
        <f>'дані про персонал'!E25</f>
        <v>10273.850574712644</v>
      </c>
      <c r="G94" s="195" t="s">
        <v>75</v>
      </c>
      <c r="H94" s="195" t="s">
        <v>75</v>
      </c>
      <c r="I94" s="195" t="s">
        <v>75</v>
      </c>
      <c r="J94" s="195" t="s">
        <v>75</v>
      </c>
    </row>
    <row r="95" spans="1:129" x14ac:dyDescent="0.25">
      <c r="A95" s="12" t="s">
        <v>119</v>
      </c>
      <c r="B95" s="17">
        <v>8021</v>
      </c>
      <c r="C95" s="16">
        <f>'дані про персонал'!B26</f>
        <v>0</v>
      </c>
      <c r="D95" s="131">
        <f>'дані про персонал'!C26</f>
        <v>0</v>
      </c>
      <c r="E95" s="127">
        <f t="shared" si="7"/>
        <v>0</v>
      </c>
      <c r="F95" s="193">
        <f>'дані про персонал'!E26</f>
        <v>0</v>
      </c>
      <c r="G95" s="193" t="s">
        <v>75</v>
      </c>
      <c r="H95" s="193" t="s">
        <v>75</v>
      </c>
      <c r="I95" s="193" t="s">
        <v>75</v>
      </c>
      <c r="J95" s="193" t="s">
        <v>75</v>
      </c>
    </row>
    <row r="96" spans="1:129" x14ac:dyDescent="0.25">
      <c r="A96" s="12" t="s">
        <v>120</v>
      </c>
      <c r="B96" s="17">
        <v>8022</v>
      </c>
      <c r="C96" s="16">
        <f>'дані про персонал'!B27</f>
        <v>0</v>
      </c>
      <c r="D96" s="131">
        <f>'дані про персонал'!C27</f>
        <v>0</v>
      </c>
      <c r="E96" s="127">
        <f t="shared" si="7"/>
        <v>0</v>
      </c>
      <c r="F96" s="193">
        <f>'дані про персонал'!E27</f>
        <v>0</v>
      </c>
      <c r="G96" s="193" t="s">
        <v>75</v>
      </c>
      <c r="H96" s="193" t="s">
        <v>75</v>
      </c>
      <c r="I96" s="193" t="s">
        <v>75</v>
      </c>
      <c r="J96" s="193" t="s">
        <v>75</v>
      </c>
    </row>
    <row r="97" spans="1:10" x14ac:dyDescent="0.25">
      <c r="A97" s="12" t="s">
        <v>114</v>
      </c>
      <c r="B97" s="17">
        <v>8023</v>
      </c>
      <c r="C97" s="16">
        <f>'дані про персонал'!B28</f>
        <v>42383.333333333328</v>
      </c>
      <c r="D97" s="131">
        <f>'дані про персонал'!C28</f>
        <v>23700</v>
      </c>
      <c r="E97" s="127">
        <f t="shared" si="7"/>
        <v>23700</v>
      </c>
      <c r="F97" s="193">
        <f>'дані про персонал'!E28</f>
        <v>26700</v>
      </c>
      <c r="G97" s="193" t="s">
        <v>75</v>
      </c>
      <c r="H97" s="193" t="s">
        <v>75</v>
      </c>
      <c r="I97" s="193" t="s">
        <v>75</v>
      </c>
      <c r="J97" s="193" t="s">
        <v>75</v>
      </c>
    </row>
    <row r="98" spans="1:10" ht="31.5" x14ac:dyDescent="0.25">
      <c r="A98" s="12" t="s">
        <v>121</v>
      </c>
      <c r="B98" s="17">
        <v>8024</v>
      </c>
      <c r="C98" s="16">
        <f>'дані про персонал'!B32</f>
        <v>33283.333333333336</v>
      </c>
      <c r="D98" s="131">
        <f>'дані про персонал'!C32</f>
        <v>9659.7222222222226</v>
      </c>
      <c r="E98" s="127">
        <f t="shared" si="7"/>
        <v>9659.7222222222226</v>
      </c>
      <c r="F98" s="193">
        <f>'дані про персонал'!E32</f>
        <v>10890.90909090909</v>
      </c>
      <c r="G98" s="193" t="s">
        <v>75</v>
      </c>
      <c r="H98" s="193" t="s">
        <v>75</v>
      </c>
      <c r="I98" s="193" t="s">
        <v>75</v>
      </c>
      <c r="J98" s="193" t="s">
        <v>75</v>
      </c>
    </row>
    <row r="99" spans="1:10" x14ac:dyDescent="0.25">
      <c r="A99" s="12" t="s">
        <v>122</v>
      </c>
      <c r="B99" s="17">
        <v>8025</v>
      </c>
      <c r="C99" s="16">
        <f>'дані про персонал'!B33</f>
        <v>24608.333333333332</v>
      </c>
      <c r="D99" s="131">
        <f>'дані про персонал'!C33</f>
        <v>8911.8333333333339</v>
      </c>
      <c r="E99" s="127">
        <f t="shared" si="7"/>
        <v>8911.8333333333339</v>
      </c>
      <c r="F99" s="193">
        <f>'дані про персонал'!E33</f>
        <v>9769.2028985507259</v>
      </c>
      <c r="G99" s="193" t="s">
        <v>75</v>
      </c>
      <c r="H99" s="193" t="s">
        <v>75</v>
      </c>
      <c r="I99" s="193" t="s">
        <v>75</v>
      </c>
      <c r="J99" s="193" t="s">
        <v>75</v>
      </c>
    </row>
    <row r="100" spans="1:10" x14ac:dyDescent="0.25">
      <c r="A100" s="15"/>
      <c r="B100" s="26"/>
      <c r="C100" s="15"/>
      <c r="D100" s="8"/>
      <c r="E100" s="8"/>
      <c r="F100" s="198"/>
      <c r="G100" s="198"/>
      <c r="H100" s="198"/>
      <c r="I100" s="198"/>
      <c r="J100" s="198"/>
    </row>
    <row r="101" spans="1:10" x14ac:dyDescent="0.25">
      <c r="A101" s="15"/>
      <c r="B101" s="26"/>
      <c r="C101" s="15"/>
      <c r="D101" s="8"/>
      <c r="E101" s="8"/>
      <c r="F101" s="198"/>
      <c r="G101" s="198"/>
      <c r="H101" s="198"/>
      <c r="I101" s="198"/>
      <c r="J101" s="198"/>
    </row>
    <row r="102" spans="1:10" x14ac:dyDescent="0.25">
      <c r="A102" s="15"/>
      <c r="B102" s="26"/>
      <c r="C102" s="15"/>
      <c r="D102" s="8"/>
      <c r="E102" s="8"/>
      <c r="F102" s="198"/>
      <c r="G102" s="198"/>
      <c r="H102" s="198"/>
      <c r="I102" s="198"/>
      <c r="J102" s="198"/>
    </row>
    <row r="103" spans="1:10" x14ac:dyDescent="0.25">
      <c r="A103" s="15"/>
      <c r="B103" s="26"/>
      <c r="C103" s="15"/>
      <c r="D103" s="8"/>
      <c r="E103" s="8"/>
      <c r="F103" s="198"/>
      <c r="G103" s="198"/>
      <c r="H103" s="198"/>
      <c r="I103" s="198"/>
      <c r="J103" s="198"/>
    </row>
    <row r="104" spans="1:10" x14ac:dyDescent="0.25">
      <c r="A104" s="15"/>
      <c r="B104" s="26"/>
      <c r="C104" s="15"/>
      <c r="D104" s="8"/>
      <c r="E104" s="8"/>
      <c r="F104" s="198"/>
      <c r="G104" s="198"/>
      <c r="H104" s="198"/>
      <c r="I104" s="198"/>
      <c r="J104" s="198"/>
    </row>
    <row r="105" spans="1:10" x14ac:dyDescent="0.25">
      <c r="A105" s="15"/>
      <c r="B105" s="26"/>
      <c r="C105" s="15"/>
      <c r="D105" s="8"/>
      <c r="E105" s="8"/>
      <c r="F105" s="198"/>
      <c r="G105" s="198"/>
      <c r="H105" s="198"/>
      <c r="I105" s="198"/>
      <c r="J105" s="198"/>
    </row>
    <row r="106" spans="1:10" x14ac:dyDescent="0.25">
      <c r="A106" s="15"/>
      <c r="B106" s="26"/>
      <c r="C106" s="15"/>
      <c r="D106" s="8"/>
      <c r="E106" s="8"/>
      <c r="F106" s="198"/>
      <c r="G106" s="198"/>
      <c r="H106" s="198"/>
      <c r="I106" s="198"/>
      <c r="J106" s="198"/>
    </row>
    <row r="107" spans="1:10" x14ac:dyDescent="0.25">
      <c r="A107" s="15"/>
      <c r="B107" s="26"/>
      <c r="C107" s="15"/>
      <c r="D107" s="8"/>
      <c r="E107" s="8"/>
      <c r="F107" s="198"/>
      <c r="G107" s="198"/>
      <c r="H107" s="198"/>
      <c r="I107" s="198"/>
      <c r="J107" s="198"/>
    </row>
    <row r="108" spans="1:10" x14ac:dyDescent="0.25">
      <c r="A108" s="15"/>
      <c r="B108" s="26"/>
      <c r="C108" s="15"/>
      <c r="D108" s="8"/>
      <c r="E108" s="8"/>
      <c r="F108" s="198"/>
      <c r="G108" s="198"/>
      <c r="H108" s="198"/>
      <c r="I108" s="198"/>
      <c r="J108" s="198"/>
    </row>
    <row r="109" spans="1:10" x14ac:dyDescent="0.25">
      <c r="A109" s="15"/>
      <c r="B109" s="26"/>
      <c r="C109" s="15"/>
      <c r="D109" s="8"/>
      <c r="E109" s="8"/>
      <c r="F109" s="198"/>
      <c r="G109" s="198"/>
      <c r="H109" s="198"/>
      <c r="I109" s="198"/>
      <c r="J109" s="198"/>
    </row>
    <row r="110" spans="1:10" x14ac:dyDescent="0.25">
      <c r="A110" s="15"/>
      <c r="B110" s="26"/>
      <c r="C110" s="15"/>
      <c r="D110" s="8"/>
      <c r="E110" s="8"/>
      <c r="F110" s="198"/>
      <c r="G110" s="198"/>
      <c r="H110" s="198"/>
      <c r="I110" s="198"/>
      <c r="J110" s="198"/>
    </row>
    <row r="111" spans="1:10" x14ac:dyDescent="0.25">
      <c r="A111" s="15"/>
      <c r="B111" s="26"/>
      <c r="C111" s="15"/>
      <c r="D111" s="8"/>
      <c r="E111" s="8"/>
      <c r="F111" s="198"/>
      <c r="G111" s="198"/>
      <c r="H111" s="198"/>
      <c r="I111" s="198"/>
      <c r="J111" s="198"/>
    </row>
    <row r="112" spans="1:10" x14ac:dyDescent="0.25">
      <c r="A112" s="15"/>
      <c r="B112" s="26"/>
      <c r="C112" s="15"/>
      <c r="D112" s="8"/>
      <c r="E112" s="8"/>
      <c r="F112" s="198"/>
      <c r="G112" s="198"/>
      <c r="H112" s="198"/>
      <c r="I112" s="198"/>
      <c r="J112" s="198"/>
    </row>
    <row r="113" spans="2:10" s="15" customFormat="1" x14ac:dyDescent="0.25">
      <c r="B113" s="26"/>
      <c r="D113" s="8"/>
      <c r="E113" s="8"/>
      <c r="F113" s="198"/>
      <c r="G113" s="198"/>
      <c r="H113" s="198"/>
      <c r="I113" s="198"/>
      <c r="J113" s="198"/>
    </row>
    <row r="114" spans="2:10" s="15" customFormat="1" x14ac:dyDescent="0.25">
      <c r="B114" s="26"/>
      <c r="D114" s="8"/>
      <c r="E114" s="8"/>
      <c r="F114" s="198"/>
      <c r="G114" s="198"/>
      <c r="H114" s="198"/>
      <c r="I114" s="198"/>
      <c r="J114" s="198"/>
    </row>
    <row r="115" spans="2:10" s="15" customFormat="1" x14ac:dyDescent="0.25">
      <c r="B115" s="26"/>
      <c r="D115" s="8"/>
      <c r="E115" s="8"/>
      <c r="F115" s="198"/>
      <c r="G115" s="198"/>
      <c r="H115" s="198"/>
      <c r="I115" s="198"/>
      <c r="J115" s="198"/>
    </row>
    <row r="116" spans="2:10" s="15" customFormat="1" x14ac:dyDescent="0.25">
      <c r="B116" s="26"/>
      <c r="D116" s="8"/>
      <c r="E116" s="8"/>
      <c r="F116" s="198"/>
      <c r="G116" s="198"/>
      <c r="H116" s="198"/>
      <c r="I116" s="198"/>
      <c r="J116" s="198"/>
    </row>
    <row r="117" spans="2:10" s="15" customFormat="1" x14ac:dyDescent="0.25">
      <c r="B117" s="26"/>
      <c r="D117" s="8"/>
      <c r="E117" s="8"/>
      <c r="F117" s="198"/>
      <c r="G117" s="198"/>
      <c r="H117" s="198"/>
      <c r="I117" s="198"/>
      <c r="J117" s="198"/>
    </row>
    <row r="118" spans="2:10" s="15" customFormat="1" x14ac:dyDescent="0.25">
      <c r="B118" s="26"/>
      <c r="D118" s="8"/>
      <c r="E118" s="8"/>
      <c r="F118" s="198"/>
      <c r="G118" s="198"/>
      <c r="H118" s="198"/>
      <c r="I118" s="198"/>
      <c r="J118" s="198"/>
    </row>
    <row r="119" spans="2:10" s="15" customFormat="1" x14ac:dyDescent="0.25">
      <c r="B119" s="26"/>
      <c r="D119" s="8"/>
      <c r="E119" s="8"/>
      <c r="F119" s="198"/>
      <c r="G119" s="198"/>
      <c r="H119" s="198"/>
      <c r="I119" s="198"/>
      <c r="J119" s="198"/>
    </row>
    <row r="120" spans="2:10" s="15" customFormat="1" x14ac:dyDescent="0.25">
      <c r="B120" s="26"/>
      <c r="D120" s="8"/>
      <c r="E120" s="8"/>
      <c r="F120" s="198"/>
      <c r="G120" s="198"/>
      <c r="H120" s="198"/>
      <c r="I120" s="198"/>
      <c r="J120" s="198"/>
    </row>
    <row r="121" spans="2:10" s="15" customFormat="1" x14ac:dyDescent="0.25">
      <c r="B121" s="26"/>
      <c r="D121" s="8"/>
      <c r="E121" s="8"/>
      <c r="F121" s="198"/>
      <c r="G121" s="198"/>
      <c r="H121" s="198"/>
      <c r="I121" s="198"/>
      <c r="J121" s="198"/>
    </row>
    <row r="122" spans="2:10" s="15" customFormat="1" x14ac:dyDescent="0.25">
      <c r="B122" s="26"/>
      <c r="D122" s="8"/>
      <c r="E122" s="8"/>
      <c r="F122" s="198"/>
      <c r="G122" s="198"/>
      <c r="H122" s="198"/>
      <c r="I122" s="198"/>
      <c r="J122" s="198"/>
    </row>
    <row r="123" spans="2:10" s="15" customFormat="1" x14ac:dyDescent="0.25">
      <c r="B123" s="26"/>
      <c r="D123" s="8"/>
      <c r="E123" s="8"/>
      <c r="F123" s="198"/>
      <c r="G123" s="198"/>
      <c r="H123" s="198"/>
      <c r="I123" s="198"/>
      <c r="J123" s="198"/>
    </row>
    <row r="124" spans="2:10" s="15" customFormat="1" x14ac:dyDescent="0.25">
      <c r="B124" s="26"/>
      <c r="D124" s="8"/>
      <c r="E124" s="8"/>
      <c r="F124" s="198"/>
      <c r="G124" s="198"/>
      <c r="H124" s="198"/>
      <c r="I124" s="198"/>
      <c r="J124" s="198"/>
    </row>
    <row r="125" spans="2:10" s="15" customFormat="1" x14ac:dyDescent="0.25">
      <c r="B125" s="26"/>
      <c r="D125" s="8"/>
      <c r="E125" s="8"/>
      <c r="F125" s="198"/>
      <c r="G125" s="198"/>
      <c r="H125" s="198"/>
      <c r="I125" s="198"/>
      <c r="J125" s="198"/>
    </row>
    <row r="126" spans="2:10" s="15" customFormat="1" x14ac:dyDescent="0.25">
      <c r="B126" s="26"/>
      <c r="D126" s="8"/>
      <c r="E126" s="8"/>
      <c r="F126" s="198"/>
      <c r="G126" s="198"/>
      <c r="H126" s="198"/>
      <c r="I126" s="198"/>
      <c r="J126" s="198"/>
    </row>
    <row r="127" spans="2:10" s="15" customFormat="1" x14ac:dyDescent="0.25">
      <c r="B127" s="26"/>
      <c r="D127" s="8"/>
      <c r="E127" s="8"/>
      <c r="F127" s="198"/>
      <c r="G127" s="198"/>
      <c r="H127" s="198"/>
      <c r="I127" s="198"/>
      <c r="J127" s="198"/>
    </row>
    <row r="128" spans="2:10" s="15" customFormat="1" x14ac:dyDescent="0.25">
      <c r="B128" s="26"/>
      <c r="D128" s="8"/>
      <c r="E128" s="8"/>
      <c r="F128" s="198"/>
      <c r="G128" s="198"/>
      <c r="H128" s="198"/>
      <c r="I128" s="198"/>
      <c r="J128" s="198"/>
    </row>
    <row r="129" spans="2:10" s="15" customFormat="1" x14ac:dyDescent="0.25">
      <c r="B129" s="26"/>
      <c r="D129" s="8"/>
      <c r="E129" s="8"/>
      <c r="F129" s="198"/>
      <c r="G129" s="198"/>
      <c r="H129" s="198"/>
      <c r="I129" s="198"/>
      <c r="J129" s="198"/>
    </row>
    <row r="130" spans="2:10" s="15" customFormat="1" x14ac:dyDescent="0.25">
      <c r="B130" s="26"/>
      <c r="D130" s="8"/>
      <c r="E130" s="8"/>
      <c r="F130" s="198"/>
      <c r="G130" s="198"/>
      <c r="H130" s="198"/>
      <c r="I130" s="198"/>
      <c r="J130" s="198"/>
    </row>
    <row r="131" spans="2:10" s="15" customFormat="1" x14ac:dyDescent="0.25">
      <c r="B131" s="26"/>
      <c r="D131" s="8"/>
      <c r="E131" s="8"/>
      <c r="F131" s="198"/>
      <c r="G131" s="198"/>
      <c r="H131" s="198"/>
      <c r="I131" s="198"/>
      <c r="J131" s="198"/>
    </row>
    <row r="132" spans="2:10" s="15" customFormat="1" x14ac:dyDescent="0.25">
      <c r="B132" s="26"/>
      <c r="D132" s="8"/>
      <c r="E132" s="8"/>
      <c r="F132" s="198"/>
      <c r="G132" s="198"/>
      <c r="H132" s="198"/>
      <c r="I132" s="198"/>
      <c r="J132" s="198"/>
    </row>
    <row r="133" spans="2:10" s="15" customFormat="1" x14ac:dyDescent="0.25">
      <c r="B133" s="26"/>
      <c r="D133" s="8"/>
      <c r="E133" s="8"/>
      <c r="F133" s="198"/>
      <c r="G133" s="198"/>
      <c r="H133" s="198"/>
      <c r="I133" s="198"/>
      <c r="J133" s="198"/>
    </row>
    <row r="134" spans="2:10" s="15" customFormat="1" x14ac:dyDescent="0.25">
      <c r="B134" s="26"/>
      <c r="D134" s="8"/>
      <c r="E134" s="8"/>
      <c r="F134" s="198"/>
      <c r="G134" s="198"/>
      <c r="H134" s="198"/>
      <c r="I134" s="198"/>
      <c r="J134" s="198"/>
    </row>
    <row r="135" spans="2:10" s="15" customFormat="1" x14ac:dyDescent="0.25">
      <c r="B135" s="26"/>
      <c r="D135" s="8"/>
      <c r="E135" s="8"/>
      <c r="F135" s="198"/>
      <c r="G135" s="198"/>
      <c r="H135" s="198"/>
      <c r="I135" s="198"/>
      <c r="J135" s="198"/>
    </row>
    <row r="136" spans="2:10" s="15" customFormat="1" x14ac:dyDescent="0.25">
      <c r="B136" s="26"/>
      <c r="D136" s="8"/>
      <c r="E136" s="8"/>
      <c r="F136" s="198"/>
      <c r="G136" s="198"/>
      <c r="H136" s="198"/>
      <c r="I136" s="198"/>
      <c r="J136" s="198"/>
    </row>
    <row r="137" spans="2:10" s="15" customFormat="1" x14ac:dyDescent="0.25">
      <c r="B137" s="26"/>
      <c r="D137" s="8"/>
      <c r="E137" s="8"/>
      <c r="F137" s="198"/>
      <c r="G137" s="198"/>
      <c r="H137" s="198"/>
      <c r="I137" s="198"/>
      <c r="J137" s="198"/>
    </row>
    <row r="138" spans="2:10" s="15" customFormat="1" x14ac:dyDescent="0.25">
      <c r="B138" s="26"/>
      <c r="D138" s="8"/>
      <c r="E138" s="8"/>
      <c r="F138" s="198"/>
      <c r="G138" s="198"/>
      <c r="H138" s="198"/>
      <c r="I138" s="198"/>
      <c r="J138" s="198"/>
    </row>
    <row r="139" spans="2:10" s="15" customFormat="1" x14ac:dyDescent="0.25">
      <c r="B139" s="26"/>
      <c r="D139" s="8"/>
      <c r="E139" s="8"/>
      <c r="F139" s="198"/>
      <c r="G139" s="198"/>
      <c r="H139" s="198"/>
      <c r="I139" s="198"/>
      <c r="J139" s="198"/>
    </row>
    <row r="140" spans="2:10" s="15" customFormat="1" x14ac:dyDescent="0.25">
      <c r="B140" s="26"/>
      <c r="D140" s="8"/>
      <c r="E140" s="8"/>
      <c r="F140" s="198"/>
      <c r="G140" s="198"/>
      <c r="H140" s="198"/>
      <c r="I140" s="198"/>
      <c r="J140" s="198"/>
    </row>
    <row r="141" spans="2:10" s="15" customFormat="1" x14ac:dyDescent="0.25">
      <c r="B141" s="26"/>
      <c r="D141" s="8"/>
      <c r="E141" s="8"/>
      <c r="F141" s="198"/>
      <c r="G141" s="198"/>
      <c r="H141" s="198"/>
      <c r="I141" s="198"/>
      <c r="J141" s="198"/>
    </row>
    <row r="142" spans="2:10" s="15" customFormat="1" x14ac:dyDescent="0.25">
      <c r="B142" s="26"/>
      <c r="D142" s="8"/>
      <c r="E142" s="8"/>
      <c r="F142" s="198"/>
      <c r="G142" s="198"/>
      <c r="H142" s="198"/>
      <c r="I142" s="198"/>
      <c r="J142" s="198"/>
    </row>
    <row r="143" spans="2:10" s="15" customFormat="1" x14ac:dyDescent="0.25">
      <c r="B143" s="26"/>
      <c r="D143" s="8"/>
      <c r="E143" s="8"/>
      <c r="F143" s="198"/>
      <c r="G143" s="198"/>
      <c r="H143" s="198"/>
      <c r="I143" s="198"/>
      <c r="J143" s="198"/>
    </row>
    <row r="144" spans="2:10" s="15" customFormat="1" x14ac:dyDescent="0.25">
      <c r="B144" s="26"/>
      <c r="D144" s="8"/>
      <c r="E144" s="8"/>
      <c r="F144" s="198"/>
      <c r="G144" s="198"/>
      <c r="H144" s="198"/>
      <c r="I144" s="198"/>
      <c r="J144" s="198"/>
    </row>
    <row r="145" spans="2:10" s="15" customFormat="1" x14ac:dyDescent="0.25">
      <c r="B145" s="26"/>
      <c r="D145" s="8"/>
      <c r="E145" s="8"/>
      <c r="F145" s="198"/>
      <c r="G145" s="198"/>
      <c r="H145" s="198"/>
      <c r="I145" s="198"/>
      <c r="J145" s="198"/>
    </row>
    <row r="146" spans="2:10" s="15" customFormat="1" x14ac:dyDescent="0.25">
      <c r="B146" s="26"/>
      <c r="D146" s="8"/>
      <c r="E146" s="8"/>
      <c r="F146" s="198"/>
      <c r="G146" s="198"/>
      <c r="H146" s="198"/>
      <c r="I146" s="198"/>
      <c r="J146" s="198"/>
    </row>
    <row r="147" spans="2:10" s="15" customFormat="1" x14ac:dyDescent="0.25">
      <c r="B147" s="26"/>
      <c r="D147" s="8"/>
      <c r="E147" s="8"/>
      <c r="F147" s="198"/>
      <c r="G147" s="198"/>
      <c r="H147" s="198"/>
      <c r="I147" s="198"/>
      <c r="J147" s="198"/>
    </row>
    <row r="148" spans="2:10" s="15" customFormat="1" x14ac:dyDescent="0.25">
      <c r="B148" s="26"/>
      <c r="D148" s="8"/>
      <c r="E148" s="8"/>
      <c r="F148" s="198"/>
      <c r="G148" s="198"/>
      <c r="H148" s="198"/>
      <c r="I148" s="198"/>
      <c r="J148" s="198"/>
    </row>
    <row r="149" spans="2:10" s="15" customFormat="1" x14ac:dyDescent="0.25">
      <c r="B149" s="26"/>
      <c r="D149" s="8"/>
      <c r="E149" s="8"/>
      <c r="F149" s="198"/>
      <c r="G149" s="198"/>
      <c r="H149" s="198"/>
      <c r="I149" s="198"/>
      <c r="J149" s="198"/>
    </row>
    <row r="150" spans="2:10" s="15" customFormat="1" x14ac:dyDescent="0.25">
      <c r="B150" s="26"/>
      <c r="D150" s="8"/>
      <c r="E150" s="8"/>
      <c r="F150" s="198"/>
      <c r="G150" s="198"/>
      <c r="H150" s="198"/>
      <c r="I150" s="198"/>
      <c r="J150" s="198"/>
    </row>
    <row r="151" spans="2:10" s="15" customFormat="1" x14ac:dyDescent="0.25">
      <c r="B151" s="26"/>
      <c r="D151" s="8"/>
      <c r="E151" s="8"/>
      <c r="F151" s="198"/>
      <c r="G151" s="198"/>
      <c r="H151" s="198"/>
      <c r="I151" s="198"/>
      <c r="J151" s="198"/>
    </row>
    <row r="152" spans="2:10" s="15" customFormat="1" x14ac:dyDescent="0.25">
      <c r="B152" s="26"/>
      <c r="D152" s="8"/>
      <c r="E152" s="8"/>
      <c r="F152" s="198"/>
      <c r="G152" s="198"/>
      <c r="H152" s="198"/>
      <c r="I152" s="198"/>
      <c r="J152" s="198"/>
    </row>
    <row r="153" spans="2:10" s="15" customFormat="1" x14ac:dyDescent="0.25">
      <c r="B153" s="26"/>
      <c r="D153" s="8"/>
      <c r="E153" s="8"/>
      <c r="F153" s="198"/>
      <c r="G153" s="198"/>
      <c r="H153" s="198"/>
      <c r="I153" s="198"/>
      <c r="J153" s="198"/>
    </row>
    <row r="154" spans="2:10" s="15" customFormat="1" x14ac:dyDescent="0.25">
      <c r="B154" s="26"/>
      <c r="D154" s="8"/>
      <c r="E154" s="8"/>
      <c r="F154" s="198"/>
      <c r="G154" s="198"/>
      <c r="H154" s="198"/>
      <c r="I154" s="198"/>
      <c r="J154" s="198"/>
    </row>
    <row r="155" spans="2:10" s="15" customFormat="1" x14ac:dyDescent="0.25">
      <c r="B155" s="26"/>
      <c r="D155" s="8"/>
      <c r="E155" s="8"/>
      <c r="F155" s="198"/>
      <c r="G155" s="198"/>
      <c r="H155" s="198"/>
      <c r="I155" s="198"/>
      <c r="J155" s="198"/>
    </row>
    <row r="156" spans="2:10" s="15" customFormat="1" x14ac:dyDescent="0.25">
      <c r="B156" s="26"/>
      <c r="D156" s="8"/>
      <c r="E156" s="8"/>
      <c r="F156" s="198"/>
      <c r="G156" s="198"/>
      <c r="H156" s="198"/>
      <c r="I156" s="198"/>
      <c r="J156" s="198"/>
    </row>
    <row r="157" spans="2:10" s="15" customFormat="1" x14ac:dyDescent="0.25">
      <c r="B157" s="26"/>
      <c r="D157" s="8"/>
      <c r="E157" s="8"/>
      <c r="F157" s="198"/>
      <c r="G157" s="198"/>
      <c r="H157" s="198"/>
      <c r="I157" s="198"/>
      <c r="J157" s="198"/>
    </row>
    <row r="158" spans="2:10" s="15" customFormat="1" x14ac:dyDescent="0.25">
      <c r="B158" s="26"/>
      <c r="D158" s="8"/>
      <c r="E158" s="8"/>
      <c r="F158" s="198"/>
      <c r="G158" s="198"/>
      <c r="H158" s="198"/>
      <c r="I158" s="198"/>
      <c r="J158" s="198"/>
    </row>
    <row r="159" spans="2:10" s="15" customFormat="1" x14ac:dyDescent="0.25">
      <c r="B159" s="26"/>
      <c r="D159" s="8"/>
      <c r="E159" s="8"/>
      <c r="F159" s="198"/>
      <c r="G159" s="198"/>
      <c r="H159" s="198"/>
      <c r="I159" s="198"/>
      <c r="J159" s="198"/>
    </row>
    <row r="160" spans="2:10" s="15" customFormat="1" x14ac:dyDescent="0.25">
      <c r="B160" s="26"/>
      <c r="D160" s="8"/>
      <c r="E160" s="8"/>
      <c r="F160" s="198"/>
      <c r="G160" s="198"/>
      <c r="H160" s="198"/>
      <c r="I160" s="198"/>
      <c r="J160" s="198"/>
    </row>
    <row r="161" spans="2:10" s="15" customFormat="1" x14ac:dyDescent="0.25">
      <c r="B161" s="26"/>
      <c r="D161" s="8"/>
      <c r="E161" s="8"/>
      <c r="F161" s="198"/>
      <c r="G161" s="198"/>
      <c r="H161" s="198"/>
      <c r="I161" s="198"/>
      <c r="J161" s="198"/>
    </row>
    <row r="162" spans="2:10" s="15" customFormat="1" x14ac:dyDescent="0.25">
      <c r="B162" s="26"/>
      <c r="D162" s="8"/>
      <c r="E162" s="8"/>
      <c r="F162" s="198"/>
      <c r="G162" s="198"/>
      <c r="H162" s="198"/>
      <c r="I162" s="198"/>
      <c r="J162" s="198"/>
    </row>
    <row r="163" spans="2:10" s="15" customFormat="1" x14ac:dyDescent="0.25">
      <c r="B163" s="26"/>
      <c r="D163" s="8"/>
      <c r="E163" s="8"/>
      <c r="F163" s="198"/>
      <c r="G163" s="198"/>
      <c r="H163" s="198"/>
      <c r="I163" s="198"/>
      <c r="J163" s="198"/>
    </row>
    <row r="164" spans="2:10" s="15" customFormat="1" x14ac:dyDescent="0.25">
      <c r="B164" s="26"/>
      <c r="D164" s="8"/>
      <c r="E164" s="8"/>
      <c r="F164" s="198"/>
      <c r="G164" s="198"/>
      <c r="H164" s="198"/>
      <c r="I164" s="198"/>
      <c r="J164" s="198"/>
    </row>
    <row r="165" spans="2:10" s="15" customFormat="1" x14ac:dyDescent="0.25">
      <c r="B165" s="26"/>
      <c r="D165" s="8"/>
      <c r="E165" s="8"/>
      <c r="F165" s="198"/>
      <c r="G165" s="198"/>
      <c r="H165" s="198"/>
      <c r="I165" s="198"/>
      <c r="J165" s="198"/>
    </row>
    <row r="166" spans="2:10" s="15" customFormat="1" x14ac:dyDescent="0.25">
      <c r="B166" s="26"/>
      <c r="D166" s="8"/>
      <c r="E166" s="8"/>
      <c r="F166" s="198"/>
      <c r="G166" s="198"/>
      <c r="H166" s="198"/>
      <c r="I166" s="198"/>
      <c r="J166" s="198"/>
    </row>
    <row r="167" spans="2:10" s="15" customFormat="1" x14ac:dyDescent="0.25">
      <c r="B167" s="26"/>
      <c r="D167" s="8"/>
      <c r="E167" s="8"/>
      <c r="F167" s="198"/>
      <c r="G167" s="198"/>
      <c r="H167" s="198"/>
      <c r="I167" s="198"/>
      <c r="J167" s="198"/>
    </row>
    <row r="168" spans="2:10" s="15" customFormat="1" x14ac:dyDescent="0.25">
      <c r="B168" s="26"/>
      <c r="D168" s="8"/>
      <c r="E168" s="8"/>
      <c r="F168" s="198"/>
      <c r="G168" s="198"/>
      <c r="H168" s="198"/>
      <c r="I168" s="198"/>
      <c r="J168" s="198"/>
    </row>
    <row r="169" spans="2:10" s="15" customFormat="1" x14ac:dyDescent="0.25">
      <c r="B169" s="26"/>
      <c r="D169" s="8"/>
      <c r="E169" s="8"/>
      <c r="F169" s="198"/>
      <c r="G169" s="198"/>
      <c r="H169" s="198"/>
      <c r="I169" s="198"/>
      <c r="J169" s="198"/>
    </row>
    <row r="170" spans="2:10" s="15" customFormat="1" x14ac:dyDescent="0.25">
      <c r="B170" s="26"/>
      <c r="D170" s="8"/>
      <c r="E170" s="8"/>
      <c r="F170" s="198"/>
      <c r="G170" s="198"/>
      <c r="H170" s="198"/>
      <c r="I170" s="198"/>
      <c r="J170" s="198"/>
    </row>
    <row r="171" spans="2:10" s="15" customFormat="1" x14ac:dyDescent="0.25">
      <c r="B171" s="26"/>
      <c r="D171" s="8"/>
      <c r="E171" s="8"/>
      <c r="F171" s="198"/>
      <c r="G171" s="198"/>
      <c r="H171" s="198"/>
      <c r="I171" s="198"/>
      <c r="J171" s="198"/>
    </row>
    <row r="172" spans="2:10" s="15" customFormat="1" x14ac:dyDescent="0.25">
      <c r="B172" s="26"/>
      <c r="D172" s="8"/>
      <c r="E172" s="8"/>
      <c r="F172" s="198"/>
      <c r="G172" s="198"/>
      <c r="H172" s="198"/>
      <c r="I172" s="198"/>
      <c r="J172" s="198"/>
    </row>
    <row r="173" spans="2:10" s="15" customFormat="1" x14ac:dyDescent="0.25">
      <c r="B173" s="26"/>
      <c r="D173" s="8"/>
      <c r="E173" s="8"/>
      <c r="F173" s="198"/>
      <c r="G173" s="198"/>
      <c r="H173" s="198"/>
      <c r="I173" s="198"/>
      <c r="J173" s="198"/>
    </row>
    <row r="174" spans="2:10" s="15" customFormat="1" x14ac:dyDescent="0.25">
      <c r="B174" s="26"/>
      <c r="D174" s="8"/>
      <c r="E174" s="8"/>
      <c r="F174" s="198"/>
      <c r="G174" s="198"/>
      <c r="H174" s="198"/>
      <c r="I174" s="198"/>
      <c r="J174" s="198"/>
    </row>
    <row r="175" spans="2:10" s="15" customFormat="1" x14ac:dyDescent="0.25">
      <c r="B175" s="26"/>
      <c r="D175" s="8"/>
      <c r="E175" s="8"/>
      <c r="F175" s="198"/>
      <c r="G175" s="198"/>
      <c r="H175" s="198"/>
      <c r="I175" s="198"/>
      <c r="J175" s="198"/>
    </row>
    <row r="176" spans="2:10" s="15" customFormat="1" x14ac:dyDescent="0.25">
      <c r="B176" s="26"/>
      <c r="D176" s="8"/>
      <c r="E176" s="8"/>
      <c r="F176" s="198"/>
      <c r="G176" s="198"/>
      <c r="H176" s="198"/>
      <c r="I176" s="198"/>
      <c r="J176" s="198"/>
    </row>
    <row r="177" spans="2:10" s="15" customFormat="1" x14ac:dyDescent="0.25">
      <c r="B177" s="26"/>
      <c r="D177" s="8"/>
      <c r="E177" s="8"/>
      <c r="F177" s="198"/>
      <c r="G177" s="198"/>
      <c r="H177" s="198"/>
      <c r="I177" s="198"/>
      <c r="J177" s="198"/>
    </row>
    <row r="178" spans="2:10" s="15" customFormat="1" x14ac:dyDescent="0.25">
      <c r="B178" s="26"/>
      <c r="D178" s="8"/>
      <c r="E178" s="8"/>
      <c r="F178" s="198"/>
      <c r="G178" s="198"/>
      <c r="H178" s="198"/>
      <c r="I178" s="198"/>
      <c r="J178" s="198"/>
    </row>
    <row r="179" spans="2:10" s="15" customFormat="1" x14ac:dyDescent="0.25">
      <c r="B179" s="26"/>
      <c r="D179" s="8"/>
      <c r="E179" s="8"/>
      <c r="F179" s="198"/>
      <c r="G179" s="198"/>
      <c r="H179" s="198"/>
      <c r="I179" s="198"/>
      <c r="J179" s="198"/>
    </row>
    <row r="180" spans="2:10" s="15" customFormat="1" x14ac:dyDescent="0.25">
      <c r="B180" s="26"/>
      <c r="D180" s="8"/>
      <c r="E180" s="8"/>
      <c r="F180" s="198"/>
      <c r="G180" s="198"/>
      <c r="H180" s="198"/>
      <c r="I180" s="198"/>
      <c r="J180" s="198"/>
    </row>
    <row r="181" spans="2:10" s="15" customFormat="1" x14ac:dyDescent="0.25">
      <c r="B181" s="26"/>
      <c r="D181" s="8"/>
      <c r="E181" s="8"/>
      <c r="F181" s="198"/>
      <c r="G181" s="198"/>
      <c r="H181" s="198"/>
      <c r="I181" s="198"/>
      <c r="J181" s="198"/>
    </row>
    <row r="182" spans="2:10" s="15" customFormat="1" x14ac:dyDescent="0.25">
      <c r="B182" s="26"/>
      <c r="D182" s="8"/>
      <c r="E182" s="8"/>
      <c r="F182" s="198"/>
      <c r="G182" s="198"/>
      <c r="H182" s="198"/>
      <c r="I182" s="198"/>
      <c r="J182" s="198"/>
    </row>
    <row r="183" spans="2:10" s="15" customFormat="1" x14ac:dyDescent="0.25">
      <c r="B183" s="26"/>
      <c r="D183" s="8"/>
      <c r="E183" s="8"/>
      <c r="F183" s="198"/>
      <c r="G183" s="198"/>
      <c r="H183" s="198"/>
      <c r="I183" s="198"/>
      <c r="J183" s="198"/>
    </row>
    <row r="184" spans="2:10" s="15" customFormat="1" x14ac:dyDescent="0.25">
      <c r="B184" s="26"/>
      <c r="D184" s="8"/>
      <c r="E184" s="8"/>
      <c r="F184" s="198"/>
      <c r="G184" s="198"/>
      <c r="H184" s="198"/>
      <c r="I184" s="198"/>
      <c r="J184" s="198"/>
    </row>
    <row r="185" spans="2:10" s="15" customFormat="1" x14ac:dyDescent="0.25">
      <c r="B185" s="26"/>
      <c r="D185" s="8"/>
      <c r="E185" s="8"/>
      <c r="F185" s="198"/>
      <c r="G185" s="198"/>
      <c r="H185" s="198"/>
      <c r="I185" s="198"/>
      <c r="J185" s="198"/>
    </row>
    <row r="186" spans="2:10" s="15" customFormat="1" x14ac:dyDescent="0.25">
      <c r="B186" s="26"/>
      <c r="D186" s="8"/>
      <c r="E186" s="8"/>
      <c r="F186" s="198"/>
      <c r="G186" s="198"/>
      <c r="H186" s="198"/>
      <c r="I186" s="198"/>
      <c r="J186" s="198"/>
    </row>
    <row r="187" spans="2:10" s="15" customFormat="1" x14ac:dyDescent="0.25">
      <c r="B187" s="26"/>
      <c r="D187" s="8"/>
      <c r="E187" s="8"/>
      <c r="F187" s="198"/>
      <c r="G187" s="198"/>
      <c r="H187" s="198"/>
      <c r="I187" s="198"/>
      <c r="J187" s="198"/>
    </row>
    <row r="188" spans="2:10" s="15" customFormat="1" x14ac:dyDescent="0.25">
      <c r="B188" s="26"/>
      <c r="D188" s="8"/>
      <c r="E188" s="8"/>
      <c r="F188" s="198"/>
      <c r="G188" s="198"/>
      <c r="H188" s="198"/>
      <c r="I188" s="198"/>
      <c r="J188" s="198"/>
    </row>
    <row r="189" spans="2:10" s="15" customFormat="1" x14ac:dyDescent="0.25">
      <c r="B189" s="26"/>
      <c r="D189" s="8"/>
      <c r="E189" s="8"/>
      <c r="F189" s="198"/>
      <c r="G189" s="198"/>
      <c r="H189" s="198"/>
      <c r="I189" s="198"/>
      <c r="J189" s="198"/>
    </row>
    <row r="190" spans="2:10" s="15" customFormat="1" x14ac:dyDescent="0.25">
      <c r="B190" s="26"/>
      <c r="D190" s="8"/>
      <c r="E190" s="8"/>
      <c r="F190" s="198"/>
      <c r="G190" s="198"/>
      <c r="H190" s="198"/>
      <c r="I190" s="198"/>
      <c r="J190" s="198"/>
    </row>
    <row r="191" spans="2:10" s="15" customFormat="1" x14ac:dyDescent="0.25">
      <c r="B191" s="26"/>
      <c r="D191" s="8"/>
      <c r="E191" s="8"/>
      <c r="F191" s="198"/>
      <c r="G191" s="198"/>
      <c r="H191" s="198"/>
      <c r="I191" s="198"/>
      <c r="J191" s="198"/>
    </row>
    <row r="192" spans="2:10" s="15" customFormat="1" x14ac:dyDescent="0.25">
      <c r="B192" s="26"/>
      <c r="D192" s="8"/>
      <c r="E192" s="8"/>
      <c r="F192" s="198"/>
      <c r="G192" s="198"/>
      <c r="H192" s="198"/>
      <c r="I192" s="198"/>
      <c r="J192" s="198"/>
    </row>
    <row r="193" spans="2:10" s="15" customFormat="1" x14ac:dyDescent="0.25">
      <c r="B193" s="26"/>
      <c r="D193" s="8"/>
      <c r="E193" s="8"/>
      <c r="F193" s="198"/>
      <c r="G193" s="198"/>
      <c r="H193" s="198"/>
      <c r="I193" s="198"/>
      <c r="J193" s="198"/>
    </row>
    <row r="194" spans="2:10" s="15" customFormat="1" x14ac:dyDescent="0.25">
      <c r="B194" s="26"/>
      <c r="D194" s="8"/>
      <c r="E194" s="8"/>
      <c r="F194" s="198"/>
      <c r="G194" s="198"/>
      <c r="H194" s="198"/>
      <c r="I194" s="198"/>
      <c r="J194" s="198"/>
    </row>
    <row r="195" spans="2:10" s="15" customFormat="1" x14ac:dyDescent="0.25">
      <c r="B195" s="26"/>
      <c r="D195" s="8"/>
      <c r="E195" s="8"/>
      <c r="F195" s="198"/>
      <c r="G195" s="198"/>
      <c r="H195" s="198"/>
      <c r="I195" s="198"/>
      <c r="J195" s="198"/>
    </row>
    <row r="196" spans="2:10" s="15" customFormat="1" x14ac:dyDescent="0.25">
      <c r="B196" s="26"/>
      <c r="D196" s="8"/>
      <c r="E196" s="8"/>
      <c r="F196" s="198"/>
      <c r="G196" s="198"/>
      <c r="H196" s="198"/>
      <c r="I196" s="198"/>
      <c r="J196" s="198"/>
    </row>
    <row r="197" spans="2:10" s="15" customFormat="1" x14ac:dyDescent="0.25">
      <c r="B197" s="26"/>
      <c r="D197" s="8"/>
      <c r="E197" s="8"/>
      <c r="F197" s="198"/>
      <c r="G197" s="198"/>
      <c r="H197" s="198"/>
      <c r="I197" s="198"/>
      <c r="J197" s="198"/>
    </row>
    <row r="198" spans="2:10" s="15" customFormat="1" x14ac:dyDescent="0.25">
      <c r="B198" s="26"/>
      <c r="D198" s="8"/>
      <c r="E198" s="8"/>
      <c r="F198" s="198"/>
      <c r="G198" s="198"/>
      <c r="H198" s="198"/>
      <c r="I198" s="198"/>
      <c r="J198" s="198"/>
    </row>
    <row r="199" spans="2:10" s="15" customFormat="1" x14ac:dyDescent="0.25">
      <c r="B199" s="26"/>
      <c r="D199" s="8"/>
      <c r="E199" s="8"/>
      <c r="F199" s="198"/>
      <c r="G199" s="198"/>
      <c r="H199" s="198"/>
      <c r="I199" s="198"/>
      <c r="J199" s="198"/>
    </row>
    <row r="200" spans="2:10" s="15" customFormat="1" x14ac:dyDescent="0.25">
      <c r="B200" s="26"/>
      <c r="D200" s="8"/>
      <c r="E200" s="8"/>
      <c r="F200" s="198"/>
      <c r="G200" s="198"/>
      <c r="H200" s="198"/>
      <c r="I200" s="198"/>
      <c r="J200" s="198"/>
    </row>
    <row r="201" spans="2:10" s="15" customFormat="1" x14ac:dyDescent="0.25">
      <c r="B201" s="26"/>
      <c r="D201" s="8"/>
      <c r="E201" s="8"/>
      <c r="F201" s="198"/>
      <c r="G201" s="198"/>
      <c r="H201" s="198"/>
      <c r="I201" s="198"/>
      <c r="J201" s="198"/>
    </row>
    <row r="202" spans="2:10" s="15" customFormat="1" x14ac:dyDescent="0.25">
      <c r="B202" s="26"/>
      <c r="D202" s="8"/>
      <c r="E202" s="8"/>
      <c r="F202" s="198"/>
      <c r="G202" s="198"/>
      <c r="H202" s="198"/>
      <c r="I202" s="198"/>
      <c r="J202" s="198"/>
    </row>
    <row r="203" spans="2:10" s="15" customFormat="1" x14ac:dyDescent="0.25">
      <c r="B203" s="26"/>
      <c r="D203" s="8"/>
      <c r="E203" s="8"/>
      <c r="F203" s="198"/>
      <c r="G203" s="198"/>
      <c r="H203" s="198"/>
      <c r="I203" s="198"/>
      <c r="J203" s="198"/>
    </row>
    <row r="204" spans="2:10" s="15" customFormat="1" x14ac:dyDescent="0.25">
      <c r="B204" s="26"/>
      <c r="D204" s="8"/>
      <c r="E204" s="8"/>
      <c r="F204" s="198"/>
      <c r="G204" s="198"/>
      <c r="H204" s="198"/>
      <c r="I204" s="198"/>
      <c r="J204" s="198"/>
    </row>
    <row r="205" spans="2:10" s="15" customFormat="1" x14ac:dyDescent="0.25">
      <c r="B205" s="26"/>
      <c r="D205" s="8"/>
      <c r="E205" s="8"/>
      <c r="F205" s="198"/>
      <c r="G205" s="198"/>
      <c r="H205" s="198"/>
      <c r="I205" s="198"/>
      <c r="J205" s="198"/>
    </row>
    <row r="206" spans="2:10" s="15" customFormat="1" x14ac:dyDescent="0.25">
      <c r="B206" s="26"/>
      <c r="D206" s="8"/>
      <c r="E206" s="8"/>
      <c r="F206" s="198"/>
      <c r="G206" s="198"/>
      <c r="H206" s="198"/>
      <c r="I206" s="198"/>
      <c r="J206" s="198"/>
    </row>
    <row r="207" spans="2:10" s="15" customFormat="1" x14ac:dyDescent="0.25">
      <c r="B207" s="26"/>
      <c r="D207" s="8"/>
      <c r="E207" s="8"/>
      <c r="F207" s="198"/>
      <c r="G207" s="198"/>
      <c r="H207" s="198"/>
      <c r="I207" s="198"/>
      <c r="J207" s="198"/>
    </row>
    <row r="208" spans="2:10" s="15" customFormat="1" x14ac:dyDescent="0.25">
      <c r="B208" s="26"/>
      <c r="D208" s="8"/>
      <c r="E208" s="8"/>
      <c r="F208" s="198"/>
      <c r="G208" s="198"/>
      <c r="H208" s="198"/>
      <c r="I208" s="198"/>
      <c r="J208" s="198"/>
    </row>
    <row r="209" spans="2:10" s="15" customFormat="1" x14ac:dyDescent="0.25">
      <c r="B209" s="26"/>
      <c r="D209" s="8"/>
      <c r="E209" s="8"/>
      <c r="F209" s="198"/>
      <c r="G209" s="198"/>
      <c r="H209" s="198"/>
      <c r="I209" s="198"/>
      <c r="J209" s="198"/>
    </row>
    <row r="210" spans="2:10" s="15" customFormat="1" x14ac:dyDescent="0.25">
      <c r="B210" s="26"/>
      <c r="D210" s="8"/>
      <c r="E210" s="8"/>
      <c r="F210" s="198"/>
      <c r="G210" s="198"/>
      <c r="H210" s="198"/>
      <c r="I210" s="198"/>
      <c r="J210" s="198"/>
    </row>
    <row r="211" spans="2:10" s="15" customFormat="1" x14ac:dyDescent="0.25">
      <c r="B211" s="26"/>
      <c r="D211" s="8"/>
      <c r="E211" s="8"/>
      <c r="F211" s="198"/>
      <c r="G211" s="198"/>
      <c r="H211" s="198"/>
      <c r="I211" s="198"/>
      <c r="J211" s="198"/>
    </row>
    <row r="212" spans="2:10" s="15" customFormat="1" x14ac:dyDescent="0.25">
      <c r="B212" s="26"/>
      <c r="D212" s="8"/>
      <c r="E212" s="8"/>
      <c r="F212" s="198"/>
      <c r="G212" s="198"/>
      <c r="H212" s="198"/>
      <c r="I212" s="198"/>
      <c r="J212" s="198"/>
    </row>
    <row r="213" spans="2:10" s="15" customFormat="1" x14ac:dyDescent="0.25">
      <c r="B213" s="26"/>
      <c r="D213" s="8"/>
      <c r="E213" s="8"/>
      <c r="F213" s="198"/>
      <c r="G213" s="198"/>
      <c r="H213" s="198"/>
      <c r="I213" s="198"/>
      <c r="J213" s="198"/>
    </row>
    <row r="214" spans="2:10" s="15" customFormat="1" x14ac:dyDescent="0.25">
      <c r="B214" s="26"/>
      <c r="D214" s="8"/>
      <c r="E214" s="8"/>
      <c r="F214" s="198"/>
      <c r="G214" s="198"/>
      <c r="H214" s="198"/>
      <c r="I214" s="198"/>
      <c r="J214" s="198"/>
    </row>
    <row r="215" spans="2:10" s="15" customFormat="1" x14ac:dyDescent="0.25">
      <c r="B215" s="26"/>
      <c r="D215" s="8"/>
      <c r="E215" s="8"/>
      <c r="F215" s="198"/>
      <c r="G215" s="198"/>
      <c r="H215" s="198"/>
      <c r="I215" s="198"/>
      <c r="J215" s="198"/>
    </row>
    <row r="216" spans="2:10" s="15" customFormat="1" x14ac:dyDescent="0.25">
      <c r="B216" s="26"/>
      <c r="D216" s="8"/>
      <c r="E216" s="8"/>
      <c r="F216" s="198"/>
      <c r="G216" s="198"/>
      <c r="H216" s="198"/>
      <c r="I216" s="198"/>
      <c r="J216" s="198"/>
    </row>
    <row r="217" spans="2:10" s="15" customFormat="1" x14ac:dyDescent="0.25">
      <c r="B217" s="26"/>
      <c r="D217" s="8"/>
      <c r="E217" s="8"/>
      <c r="F217" s="198"/>
      <c r="G217" s="198"/>
      <c r="H217" s="198"/>
      <c r="I217" s="198"/>
      <c r="J217" s="198"/>
    </row>
    <row r="218" spans="2:10" s="15" customFormat="1" x14ac:dyDescent="0.25">
      <c r="B218" s="26"/>
      <c r="D218" s="8"/>
      <c r="E218" s="8"/>
      <c r="F218" s="198"/>
      <c r="G218" s="198"/>
      <c r="H218" s="198"/>
      <c r="I218" s="198"/>
      <c r="J218" s="198"/>
    </row>
    <row r="219" spans="2:10" s="15" customFormat="1" x14ac:dyDescent="0.25">
      <c r="B219" s="26"/>
      <c r="D219" s="8"/>
      <c r="E219" s="8"/>
      <c r="F219" s="198"/>
      <c r="G219" s="198"/>
      <c r="H219" s="198"/>
      <c r="I219" s="198"/>
      <c r="J219" s="198"/>
    </row>
    <row r="220" spans="2:10" s="15" customFormat="1" x14ac:dyDescent="0.25">
      <c r="B220" s="26"/>
      <c r="D220" s="8"/>
      <c r="E220" s="8"/>
      <c r="F220" s="198"/>
      <c r="G220" s="198"/>
      <c r="H220" s="198"/>
      <c r="I220" s="198"/>
      <c r="J220" s="198"/>
    </row>
    <row r="221" spans="2:10" s="15" customFormat="1" x14ac:dyDescent="0.25">
      <c r="B221" s="26"/>
      <c r="D221" s="8"/>
      <c r="E221" s="8"/>
      <c r="F221" s="198"/>
      <c r="G221" s="198"/>
      <c r="H221" s="198"/>
      <c r="I221" s="198"/>
      <c r="J221" s="198"/>
    </row>
    <row r="222" spans="2:10" s="15" customFormat="1" x14ac:dyDescent="0.25">
      <c r="B222" s="26"/>
      <c r="D222" s="8"/>
      <c r="E222" s="8"/>
      <c r="F222" s="198"/>
      <c r="G222" s="198"/>
      <c r="H222" s="198"/>
      <c r="I222" s="198"/>
      <c r="J222" s="198"/>
    </row>
    <row r="223" spans="2:10" s="15" customFormat="1" x14ac:dyDescent="0.25">
      <c r="B223" s="26"/>
      <c r="D223" s="8"/>
      <c r="E223" s="8"/>
      <c r="F223" s="198"/>
      <c r="G223" s="198"/>
      <c r="H223" s="198"/>
      <c r="I223" s="198"/>
      <c r="J223" s="198"/>
    </row>
    <row r="224" spans="2:10" s="15" customFormat="1" x14ac:dyDescent="0.25">
      <c r="B224" s="26"/>
      <c r="D224" s="8"/>
      <c r="E224" s="8"/>
      <c r="F224" s="198"/>
      <c r="G224" s="198"/>
      <c r="H224" s="198"/>
      <c r="I224" s="198"/>
      <c r="J224" s="198"/>
    </row>
    <row r="225" spans="2:10" s="15" customFormat="1" x14ac:dyDescent="0.25">
      <c r="B225" s="26"/>
      <c r="D225" s="8"/>
      <c r="E225" s="8"/>
      <c r="F225" s="198"/>
      <c r="G225" s="198"/>
      <c r="H225" s="198"/>
      <c r="I225" s="198"/>
      <c r="J225" s="198"/>
    </row>
    <row r="226" spans="2:10" s="15" customFormat="1" x14ac:dyDescent="0.25">
      <c r="B226" s="26"/>
      <c r="D226" s="8"/>
      <c r="E226" s="8"/>
      <c r="F226" s="198"/>
      <c r="G226" s="198"/>
      <c r="H226" s="198"/>
      <c r="I226" s="198"/>
      <c r="J226" s="198"/>
    </row>
    <row r="227" spans="2:10" s="15" customFormat="1" x14ac:dyDescent="0.25">
      <c r="B227" s="26"/>
      <c r="D227" s="8"/>
      <c r="E227" s="8"/>
      <c r="F227" s="198"/>
      <c r="G227" s="198"/>
      <c r="H227" s="198"/>
      <c r="I227" s="198"/>
      <c r="J227" s="198"/>
    </row>
    <row r="228" spans="2:10" s="15" customFormat="1" x14ac:dyDescent="0.25">
      <c r="B228" s="26"/>
      <c r="D228" s="8"/>
      <c r="E228" s="8"/>
      <c r="F228" s="198"/>
      <c r="G228" s="198"/>
      <c r="H228" s="198"/>
      <c r="I228" s="198"/>
      <c r="J228" s="198"/>
    </row>
    <row r="229" spans="2:10" s="15" customFormat="1" x14ac:dyDescent="0.25">
      <c r="B229" s="26"/>
      <c r="D229" s="8"/>
      <c r="E229" s="8"/>
      <c r="F229" s="198"/>
      <c r="G229" s="198"/>
      <c r="H229" s="198"/>
      <c r="I229" s="198"/>
      <c r="J229" s="198"/>
    </row>
    <row r="230" spans="2:10" s="15" customFormat="1" x14ac:dyDescent="0.25">
      <c r="B230" s="26"/>
      <c r="D230" s="8"/>
      <c r="E230" s="8"/>
      <c r="F230" s="198"/>
      <c r="G230" s="198"/>
      <c r="H230" s="198"/>
      <c r="I230" s="198"/>
      <c r="J230" s="198"/>
    </row>
    <row r="231" spans="2:10" s="15" customFormat="1" x14ac:dyDescent="0.25">
      <c r="B231" s="26"/>
      <c r="D231" s="8"/>
      <c r="E231" s="8"/>
      <c r="F231" s="198"/>
      <c r="G231" s="198"/>
      <c r="H231" s="198"/>
      <c r="I231" s="198"/>
      <c r="J231" s="198"/>
    </row>
    <row r="232" spans="2:10" s="15" customFormat="1" x14ac:dyDescent="0.25">
      <c r="B232" s="26"/>
      <c r="D232" s="8"/>
      <c r="E232" s="8"/>
      <c r="F232" s="198"/>
      <c r="G232" s="198"/>
      <c r="H232" s="198"/>
      <c r="I232" s="198"/>
      <c r="J232" s="198"/>
    </row>
    <row r="233" spans="2:10" s="15" customFormat="1" x14ac:dyDescent="0.25">
      <c r="B233" s="26"/>
      <c r="D233" s="8"/>
      <c r="E233" s="8"/>
      <c r="F233" s="198"/>
      <c r="G233" s="198"/>
      <c r="H233" s="198"/>
      <c r="I233" s="198"/>
      <c r="J233" s="198"/>
    </row>
    <row r="234" spans="2:10" s="15" customFormat="1" x14ac:dyDescent="0.25">
      <c r="B234" s="26"/>
      <c r="D234" s="8"/>
      <c r="E234" s="8"/>
      <c r="F234" s="198"/>
      <c r="G234" s="198"/>
      <c r="H234" s="198"/>
      <c r="I234" s="198"/>
      <c r="J234" s="198"/>
    </row>
    <row r="235" spans="2:10" s="15" customFormat="1" x14ac:dyDescent="0.25">
      <c r="B235" s="26"/>
      <c r="D235" s="8"/>
      <c r="E235" s="8"/>
      <c r="F235" s="198"/>
      <c r="G235" s="198"/>
      <c r="H235" s="198"/>
      <c r="I235" s="198"/>
      <c r="J235" s="198"/>
    </row>
    <row r="236" spans="2:10" s="15" customFormat="1" x14ac:dyDescent="0.25">
      <c r="B236" s="26"/>
      <c r="D236" s="8"/>
      <c r="E236" s="8"/>
      <c r="F236" s="198"/>
      <c r="G236" s="198"/>
      <c r="H236" s="198"/>
      <c r="I236" s="198"/>
      <c r="J236" s="198"/>
    </row>
    <row r="237" spans="2:10" s="15" customFormat="1" x14ac:dyDescent="0.25">
      <c r="B237" s="26"/>
      <c r="D237" s="8"/>
      <c r="E237" s="8"/>
      <c r="F237" s="198"/>
      <c r="G237" s="198"/>
      <c r="H237" s="198"/>
      <c r="I237" s="198"/>
      <c r="J237" s="198"/>
    </row>
    <row r="238" spans="2:10" s="15" customFormat="1" x14ac:dyDescent="0.25">
      <c r="B238" s="26"/>
      <c r="D238" s="8"/>
      <c r="E238" s="8"/>
      <c r="F238" s="198"/>
      <c r="G238" s="198"/>
      <c r="H238" s="198"/>
      <c r="I238" s="198"/>
      <c r="J238" s="198"/>
    </row>
    <row r="239" spans="2:10" s="15" customFormat="1" x14ac:dyDescent="0.25">
      <c r="B239" s="26"/>
      <c r="D239" s="8"/>
      <c r="E239" s="8"/>
      <c r="F239" s="198"/>
      <c r="G239" s="198"/>
      <c r="H239" s="198"/>
      <c r="I239" s="198"/>
      <c r="J239" s="198"/>
    </row>
    <row r="240" spans="2:10" s="15" customFormat="1" x14ac:dyDescent="0.25">
      <c r="B240" s="26"/>
      <c r="D240" s="8"/>
      <c r="E240" s="8"/>
      <c r="F240" s="198"/>
      <c r="G240" s="198"/>
      <c r="H240" s="198"/>
      <c r="I240" s="198"/>
      <c r="J240" s="198"/>
    </row>
    <row r="241" spans="2:10" s="15" customFormat="1" x14ac:dyDescent="0.25">
      <c r="B241" s="26"/>
      <c r="D241" s="8"/>
      <c r="E241" s="8"/>
      <c r="F241" s="198"/>
      <c r="G241" s="198"/>
      <c r="H241" s="198"/>
      <c r="I241" s="198"/>
      <c r="J241" s="198"/>
    </row>
    <row r="242" spans="2:10" s="15" customFormat="1" x14ac:dyDescent="0.25">
      <c r="B242" s="26"/>
      <c r="D242" s="8"/>
      <c r="E242" s="8"/>
      <c r="F242" s="198"/>
      <c r="G242" s="198"/>
      <c r="H242" s="198"/>
      <c r="I242" s="198"/>
      <c r="J242" s="198"/>
    </row>
    <row r="243" spans="2:10" s="15" customFormat="1" x14ac:dyDescent="0.25">
      <c r="B243" s="26"/>
      <c r="D243" s="8"/>
      <c r="E243" s="8"/>
      <c r="F243" s="198"/>
      <c r="G243" s="198"/>
      <c r="H243" s="198"/>
      <c r="I243" s="198"/>
      <c r="J243" s="198"/>
    </row>
    <row r="244" spans="2:10" s="15" customFormat="1" x14ac:dyDescent="0.25">
      <c r="B244" s="26"/>
      <c r="D244" s="8"/>
      <c r="E244" s="8"/>
      <c r="F244" s="198"/>
      <c r="G244" s="198"/>
      <c r="H244" s="198"/>
      <c r="I244" s="198"/>
      <c r="J244" s="198"/>
    </row>
    <row r="245" spans="2:10" s="15" customFormat="1" x14ac:dyDescent="0.25">
      <c r="B245" s="26"/>
      <c r="D245" s="8"/>
      <c r="E245" s="8"/>
      <c r="F245" s="198"/>
      <c r="G245" s="198"/>
      <c r="H245" s="198"/>
      <c r="I245" s="198"/>
      <c r="J245" s="198"/>
    </row>
    <row r="246" spans="2:10" s="15" customFormat="1" x14ac:dyDescent="0.25">
      <c r="B246" s="26"/>
      <c r="D246" s="8"/>
      <c r="E246" s="8"/>
      <c r="F246" s="198"/>
      <c r="G246" s="198"/>
      <c r="H246" s="198"/>
      <c r="I246" s="198"/>
      <c r="J246" s="198"/>
    </row>
    <row r="247" spans="2:10" s="15" customFormat="1" x14ac:dyDescent="0.25">
      <c r="B247" s="26"/>
      <c r="D247" s="8"/>
      <c r="E247" s="8"/>
      <c r="F247" s="198"/>
      <c r="G247" s="198"/>
      <c r="H247" s="198"/>
      <c r="I247" s="198"/>
      <c r="J247" s="198"/>
    </row>
    <row r="248" spans="2:10" s="15" customFormat="1" x14ac:dyDescent="0.25">
      <c r="B248" s="26"/>
      <c r="D248" s="8"/>
      <c r="E248" s="8"/>
      <c r="F248" s="198"/>
      <c r="G248" s="198"/>
      <c r="H248" s="198"/>
      <c r="I248" s="198"/>
      <c r="J248" s="198"/>
    </row>
    <row r="249" spans="2:10" s="15" customFormat="1" x14ac:dyDescent="0.25">
      <c r="B249" s="26"/>
      <c r="D249" s="8"/>
      <c r="E249" s="8"/>
      <c r="F249" s="198"/>
      <c r="G249" s="198"/>
      <c r="H249" s="198"/>
      <c r="I249" s="198"/>
      <c r="J249" s="198"/>
    </row>
    <row r="250" spans="2:10" s="15" customFormat="1" x14ac:dyDescent="0.25">
      <c r="B250" s="26"/>
      <c r="D250" s="8"/>
      <c r="E250" s="8"/>
      <c r="F250" s="198"/>
      <c r="G250" s="198"/>
      <c r="H250" s="198"/>
      <c r="I250" s="198"/>
      <c r="J250" s="198"/>
    </row>
    <row r="251" spans="2:10" s="15" customFormat="1" x14ac:dyDescent="0.25">
      <c r="B251" s="26"/>
      <c r="D251" s="8"/>
      <c r="E251" s="8"/>
      <c r="F251" s="198"/>
      <c r="G251" s="198"/>
      <c r="H251" s="198"/>
      <c r="I251" s="198"/>
      <c r="J251" s="198"/>
    </row>
    <row r="252" spans="2:10" s="15" customFormat="1" x14ac:dyDescent="0.25">
      <c r="B252" s="26"/>
      <c r="D252" s="8"/>
      <c r="E252" s="8"/>
      <c r="F252" s="198"/>
      <c r="G252" s="198"/>
      <c r="H252" s="198"/>
      <c r="I252" s="198"/>
      <c r="J252" s="198"/>
    </row>
    <row r="253" spans="2:10" s="15" customFormat="1" x14ac:dyDescent="0.25">
      <c r="B253" s="26"/>
      <c r="D253" s="8"/>
      <c r="E253" s="8"/>
      <c r="F253" s="198"/>
      <c r="G253" s="198"/>
      <c r="H253" s="198"/>
      <c r="I253" s="198"/>
      <c r="J253" s="198"/>
    </row>
    <row r="254" spans="2:10" s="15" customFormat="1" x14ac:dyDescent="0.25">
      <c r="B254" s="26"/>
      <c r="D254" s="8"/>
      <c r="E254" s="8"/>
      <c r="F254" s="198"/>
      <c r="G254" s="198"/>
      <c r="H254" s="198"/>
      <c r="I254" s="198"/>
      <c r="J254" s="198"/>
    </row>
    <row r="255" spans="2:10" s="15" customFormat="1" x14ac:dyDescent="0.25">
      <c r="B255" s="26"/>
      <c r="D255" s="8"/>
      <c r="E255" s="8"/>
      <c r="F255" s="198"/>
      <c r="G255" s="198"/>
      <c r="H255" s="198"/>
      <c r="I255" s="198"/>
      <c r="J255" s="198"/>
    </row>
    <row r="256" spans="2:10" s="15" customFormat="1" x14ac:dyDescent="0.25">
      <c r="B256" s="26"/>
      <c r="D256" s="8"/>
      <c r="E256" s="8"/>
      <c r="F256" s="198"/>
      <c r="G256" s="198"/>
      <c r="H256" s="198"/>
      <c r="I256" s="198"/>
      <c r="J256" s="198"/>
    </row>
    <row r="257" spans="2:10" s="15" customFormat="1" x14ac:dyDescent="0.25">
      <c r="B257" s="26"/>
      <c r="D257" s="8"/>
      <c r="E257" s="8"/>
      <c r="F257" s="198"/>
      <c r="G257" s="198"/>
      <c r="H257" s="198"/>
      <c r="I257" s="198"/>
      <c r="J257" s="198"/>
    </row>
    <row r="258" spans="2:10" s="15" customFormat="1" x14ac:dyDescent="0.25">
      <c r="B258" s="26"/>
      <c r="D258" s="8"/>
      <c r="E258" s="8"/>
      <c r="F258" s="198"/>
      <c r="G258" s="198"/>
      <c r="H258" s="198"/>
      <c r="I258" s="198"/>
      <c r="J258" s="198"/>
    </row>
    <row r="259" spans="2:10" s="15" customFormat="1" x14ac:dyDescent="0.25">
      <c r="B259" s="26"/>
      <c r="D259" s="8"/>
      <c r="E259" s="8"/>
      <c r="F259" s="198"/>
      <c r="G259" s="198"/>
      <c r="H259" s="198"/>
      <c r="I259" s="198"/>
      <c r="J259" s="198"/>
    </row>
    <row r="260" spans="2:10" s="15" customFormat="1" x14ac:dyDescent="0.25">
      <c r="B260" s="26"/>
      <c r="D260" s="8"/>
      <c r="E260" s="8"/>
      <c r="F260" s="198"/>
      <c r="G260" s="198"/>
      <c r="H260" s="198"/>
      <c r="I260" s="198"/>
      <c r="J260" s="198"/>
    </row>
    <row r="261" spans="2:10" s="15" customFormat="1" x14ac:dyDescent="0.25">
      <c r="B261" s="26"/>
      <c r="D261" s="8"/>
      <c r="E261" s="8"/>
      <c r="F261" s="198"/>
      <c r="G261" s="198"/>
      <c r="H261" s="198"/>
      <c r="I261" s="198"/>
      <c r="J261" s="198"/>
    </row>
    <row r="262" spans="2:10" s="15" customFormat="1" x14ac:dyDescent="0.25">
      <c r="B262" s="26"/>
      <c r="D262" s="8"/>
      <c r="E262" s="8"/>
      <c r="F262" s="198"/>
      <c r="G262" s="198"/>
      <c r="H262" s="198"/>
      <c r="I262" s="198"/>
      <c r="J262" s="198"/>
    </row>
    <row r="263" spans="2:10" s="15" customFormat="1" x14ac:dyDescent="0.25">
      <c r="B263" s="26"/>
      <c r="D263" s="8"/>
      <c r="E263" s="8"/>
      <c r="F263" s="198"/>
      <c r="G263" s="198"/>
      <c r="H263" s="198"/>
      <c r="I263" s="198"/>
      <c r="J263" s="198"/>
    </row>
    <row r="264" spans="2:10" s="15" customFormat="1" x14ac:dyDescent="0.25">
      <c r="B264" s="26"/>
      <c r="D264" s="8"/>
      <c r="E264" s="8"/>
      <c r="F264" s="198"/>
      <c r="G264" s="198"/>
      <c r="H264" s="198"/>
      <c r="I264" s="198"/>
      <c r="J264" s="198"/>
    </row>
    <row r="265" spans="2:10" s="15" customFormat="1" x14ac:dyDescent="0.25">
      <c r="B265" s="26"/>
      <c r="D265" s="8"/>
      <c r="E265" s="8"/>
      <c r="F265" s="198"/>
      <c r="G265" s="198"/>
      <c r="H265" s="198"/>
      <c r="I265" s="198"/>
      <c r="J265" s="198"/>
    </row>
    <row r="266" spans="2:10" s="15" customFormat="1" x14ac:dyDescent="0.25">
      <c r="B266" s="26"/>
      <c r="D266" s="8"/>
      <c r="E266" s="8"/>
      <c r="F266" s="198"/>
      <c r="G266" s="198"/>
      <c r="H266" s="198"/>
      <c r="I266" s="198"/>
      <c r="J266" s="198"/>
    </row>
    <row r="267" spans="2:10" s="15" customFormat="1" x14ac:dyDescent="0.25">
      <c r="B267" s="26"/>
      <c r="D267" s="8"/>
      <c r="E267" s="8"/>
      <c r="F267" s="198"/>
      <c r="G267" s="198"/>
      <c r="H267" s="198"/>
      <c r="I267" s="198"/>
      <c r="J267" s="198"/>
    </row>
    <row r="268" spans="2:10" s="15" customFormat="1" x14ac:dyDescent="0.25">
      <c r="B268" s="26"/>
      <c r="D268" s="8"/>
      <c r="E268" s="8"/>
      <c r="F268" s="198"/>
      <c r="G268" s="198"/>
      <c r="H268" s="198"/>
      <c r="I268" s="198"/>
      <c r="J268" s="198"/>
    </row>
    <row r="269" spans="2:10" s="15" customFormat="1" x14ac:dyDescent="0.25">
      <c r="B269" s="26"/>
      <c r="D269" s="8"/>
      <c r="E269" s="8"/>
      <c r="F269" s="198"/>
      <c r="G269" s="198"/>
      <c r="H269" s="198"/>
      <c r="I269" s="198"/>
      <c r="J269" s="198"/>
    </row>
    <row r="270" spans="2:10" s="15" customFormat="1" x14ac:dyDescent="0.25">
      <c r="B270" s="26"/>
      <c r="D270" s="8"/>
      <c r="E270" s="8"/>
      <c r="F270" s="198"/>
      <c r="G270" s="198"/>
      <c r="H270" s="198"/>
      <c r="I270" s="198"/>
      <c r="J270" s="198"/>
    </row>
    <row r="271" spans="2:10" s="15" customFormat="1" x14ac:dyDescent="0.25">
      <c r="B271" s="26"/>
      <c r="D271" s="8"/>
      <c r="E271" s="8"/>
      <c r="F271" s="198"/>
      <c r="G271" s="198"/>
      <c r="H271" s="198"/>
      <c r="I271" s="198"/>
      <c r="J271" s="198"/>
    </row>
    <row r="272" spans="2:10" s="15" customFormat="1" x14ac:dyDescent="0.25">
      <c r="B272" s="26"/>
      <c r="D272" s="8"/>
      <c r="E272" s="8"/>
      <c r="F272" s="198"/>
      <c r="G272" s="198"/>
      <c r="H272" s="198"/>
      <c r="I272" s="198"/>
      <c r="J272" s="198"/>
    </row>
    <row r="273" spans="2:10" s="15" customFormat="1" x14ac:dyDescent="0.25">
      <c r="B273" s="26"/>
      <c r="D273" s="8"/>
      <c r="E273" s="8"/>
      <c r="F273" s="198"/>
      <c r="G273" s="198"/>
      <c r="H273" s="198"/>
      <c r="I273" s="198"/>
      <c r="J273" s="198"/>
    </row>
    <row r="274" spans="2:10" s="15" customFormat="1" x14ac:dyDescent="0.25">
      <c r="B274" s="26"/>
      <c r="D274" s="8"/>
      <c r="E274" s="8"/>
      <c r="F274" s="198"/>
      <c r="G274" s="198"/>
      <c r="H274" s="198"/>
      <c r="I274" s="198"/>
      <c r="J274" s="198"/>
    </row>
    <row r="275" spans="2:10" s="15" customFormat="1" x14ac:dyDescent="0.25">
      <c r="B275" s="26"/>
      <c r="D275" s="8"/>
      <c r="E275" s="8"/>
      <c r="F275" s="198"/>
      <c r="G275" s="198"/>
      <c r="H275" s="198"/>
      <c r="I275" s="198"/>
      <c r="J275" s="198"/>
    </row>
    <row r="276" spans="2:10" s="15" customFormat="1" x14ac:dyDescent="0.25">
      <c r="B276" s="26"/>
      <c r="D276" s="8"/>
      <c r="E276" s="8"/>
      <c r="F276" s="198"/>
      <c r="G276" s="198"/>
      <c r="H276" s="198"/>
      <c r="I276" s="198"/>
      <c r="J276" s="198"/>
    </row>
    <row r="277" spans="2:10" s="15" customFormat="1" x14ac:dyDescent="0.25">
      <c r="B277" s="26"/>
      <c r="D277" s="8"/>
      <c r="E277" s="8"/>
      <c r="F277" s="198"/>
      <c r="G277" s="198"/>
      <c r="H277" s="198"/>
      <c r="I277" s="198"/>
      <c r="J277" s="198"/>
    </row>
    <row r="278" spans="2:10" s="15" customFormat="1" x14ac:dyDescent="0.25">
      <c r="B278" s="26"/>
      <c r="D278" s="8"/>
      <c r="E278" s="8"/>
      <c r="F278" s="198"/>
      <c r="G278" s="198"/>
      <c r="H278" s="198"/>
      <c r="I278" s="198"/>
      <c r="J278" s="198"/>
    </row>
    <row r="279" spans="2:10" s="15" customFormat="1" x14ac:dyDescent="0.25">
      <c r="B279" s="26"/>
      <c r="D279" s="8"/>
      <c r="E279" s="8"/>
      <c r="F279" s="198"/>
      <c r="G279" s="198"/>
      <c r="H279" s="198"/>
      <c r="I279" s="198"/>
      <c r="J279" s="198"/>
    </row>
    <row r="280" spans="2:10" s="15" customFormat="1" x14ac:dyDescent="0.25">
      <c r="B280" s="26"/>
      <c r="D280" s="8"/>
      <c r="E280" s="8"/>
      <c r="F280" s="198"/>
      <c r="G280" s="198"/>
      <c r="H280" s="198"/>
      <c r="I280" s="198"/>
      <c r="J280" s="198"/>
    </row>
    <row r="281" spans="2:10" s="15" customFormat="1" x14ac:dyDescent="0.25">
      <c r="B281" s="26"/>
      <c r="D281" s="8"/>
      <c r="E281" s="8"/>
      <c r="F281" s="198"/>
      <c r="G281" s="198"/>
      <c r="H281" s="198"/>
      <c r="I281" s="198"/>
      <c r="J281" s="198"/>
    </row>
    <row r="282" spans="2:10" s="15" customFormat="1" x14ac:dyDescent="0.25">
      <c r="B282" s="26"/>
      <c r="D282" s="8"/>
      <c r="E282" s="8"/>
      <c r="F282" s="198"/>
      <c r="G282" s="198"/>
      <c r="H282" s="198"/>
      <c r="I282" s="198"/>
      <c r="J282" s="198"/>
    </row>
    <row r="283" spans="2:10" s="15" customFormat="1" x14ac:dyDescent="0.25">
      <c r="B283" s="26"/>
      <c r="D283" s="8"/>
      <c r="E283" s="8"/>
      <c r="F283" s="198"/>
      <c r="G283" s="198"/>
      <c r="H283" s="198"/>
      <c r="I283" s="198"/>
      <c r="J283" s="198"/>
    </row>
    <row r="284" spans="2:10" s="15" customFormat="1" x14ac:dyDescent="0.25">
      <c r="B284" s="26"/>
      <c r="D284" s="8"/>
      <c r="E284" s="8"/>
      <c r="F284" s="198"/>
      <c r="G284" s="198"/>
      <c r="H284" s="198"/>
      <c r="I284" s="198"/>
      <c r="J284" s="198"/>
    </row>
    <row r="285" spans="2:10" s="15" customFormat="1" x14ac:dyDescent="0.25">
      <c r="B285" s="26"/>
      <c r="D285" s="8"/>
      <c r="E285" s="8"/>
      <c r="F285" s="198"/>
      <c r="G285" s="198"/>
      <c r="H285" s="198"/>
      <c r="I285" s="198"/>
      <c r="J285" s="198"/>
    </row>
    <row r="286" spans="2:10" s="15" customFormat="1" x14ac:dyDescent="0.25">
      <c r="B286" s="26"/>
      <c r="D286" s="8"/>
      <c r="E286" s="8"/>
      <c r="F286" s="198"/>
      <c r="G286" s="198"/>
      <c r="H286" s="198"/>
      <c r="I286" s="198"/>
      <c r="J286" s="198"/>
    </row>
    <row r="287" spans="2:10" s="15" customFormat="1" x14ac:dyDescent="0.25">
      <c r="B287" s="26"/>
      <c r="D287" s="8"/>
      <c r="E287" s="8"/>
      <c r="F287" s="198"/>
      <c r="G287" s="198"/>
      <c r="H287" s="198"/>
      <c r="I287" s="198"/>
      <c r="J287" s="198"/>
    </row>
    <row r="288" spans="2:10" s="15" customFormat="1" x14ac:dyDescent="0.25">
      <c r="B288" s="26"/>
      <c r="D288" s="8"/>
      <c r="E288" s="8"/>
      <c r="F288" s="198"/>
      <c r="G288" s="198"/>
      <c r="H288" s="198"/>
      <c r="I288" s="198"/>
      <c r="J288" s="198"/>
    </row>
    <row r="289" spans="2:10" s="15" customFormat="1" x14ac:dyDescent="0.25">
      <c r="B289" s="26"/>
      <c r="D289" s="8"/>
      <c r="E289" s="8"/>
      <c r="F289" s="198"/>
      <c r="G289" s="198"/>
      <c r="H289" s="198"/>
      <c r="I289" s="198"/>
      <c r="J289" s="198"/>
    </row>
    <row r="290" spans="2:10" s="15" customFormat="1" x14ac:dyDescent="0.25">
      <c r="B290" s="26"/>
      <c r="D290" s="8"/>
      <c r="E290" s="8"/>
      <c r="F290" s="198"/>
      <c r="G290" s="198"/>
      <c r="H290" s="198"/>
      <c r="I290" s="198"/>
      <c r="J290" s="198"/>
    </row>
    <row r="291" spans="2:10" s="15" customFormat="1" x14ac:dyDescent="0.25">
      <c r="B291" s="26"/>
      <c r="D291" s="8"/>
      <c r="E291" s="8"/>
      <c r="F291" s="198"/>
      <c r="G291" s="198"/>
      <c r="H291" s="198"/>
      <c r="I291" s="198"/>
      <c r="J291" s="198"/>
    </row>
    <row r="292" spans="2:10" s="15" customFormat="1" x14ac:dyDescent="0.25">
      <c r="B292" s="26"/>
      <c r="D292" s="8"/>
      <c r="E292" s="8"/>
      <c r="F292" s="198"/>
      <c r="G292" s="198"/>
      <c r="H292" s="198"/>
      <c r="I292" s="198"/>
      <c r="J292" s="198"/>
    </row>
    <row r="293" spans="2:10" s="15" customFormat="1" x14ac:dyDescent="0.25">
      <c r="B293" s="26"/>
      <c r="D293" s="8"/>
      <c r="E293" s="8"/>
      <c r="F293" s="198"/>
      <c r="G293" s="198"/>
      <c r="H293" s="198"/>
      <c r="I293" s="198"/>
      <c r="J293" s="198"/>
    </row>
    <row r="294" spans="2:10" s="15" customFormat="1" x14ac:dyDescent="0.25">
      <c r="B294" s="26"/>
      <c r="D294" s="8"/>
      <c r="E294" s="8"/>
      <c r="F294" s="198"/>
      <c r="G294" s="198"/>
      <c r="H294" s="198"/>
      <c r="I294" s="198"/>
      <c r="J294" s="198"/>
    </row>
    <row r="295" spans="2:10" s="15" customFormat="1" x14ac:dyDescent="0.25">
      <c r="B295" s="26"/>
      <c r="D295" s="8"/>
      <c r="E295" s="8"/>
      <c r="F295" s="198"/>
      <c r="G295" s="198"/>
      <c r="H295" s="198"/>
      <c r="I295" s="198"/>
      <c r="J295" s="198"/>
    </row>
    <row r="296" spans="2:10" s="15" customFormat="1" x14ac:dyDescent="0.25">
      <c r="B296" s="26"/>
      <c r="D296" s="8"/>
      <c r="E296" s="8"/>
      <c r="F296" s="198"/>
      <c r="G296" s="198"/>
      <c r="H296" s="198"/>
      <c r="I296" s="198"/>
      <c r="J296" s="198"/>
    </row>
    <row r="297" spans="2:10" s="15" customFormat="1" x14ac:dyDescent="0.25">
      <c r="B297" s="26"/>
      <c r="D297" s="8"/>
      <c r="E297" s="8"/>
      <c r="F297" s="198"/>
      <c r="G297" s="198"/>
      <c r="H297" s="198"/>
      <c r="I297" s="198"/>
      <c r="J297" s="198"/>
    </row>
    <row r="298" spans="2:10" s="15" customFormat="1" x14ac:dyDescent="0.25">
      <c r="B298" s="26"/>
      <c r="D298" s="8"/>
      <c r="E298" s="8"/>
      <c r="F298" s="198"/>
      <c r="G298" s="198"/>
      <c r="H298" s="198"/>
      <c r="I298" s="198"/>
      <c r="J298" s="198"/>
    </row>
    <row r="299" spans="2:10" s="15" customFormat="1" x14ac:dyDescent="0.25">
      <c r="B299" s="26"/>
      <c r="D299" s="8"/>
      <c r="E299" s="8"/>
      <c r="F299" s="198"/>
      <c r="G299" s="198"/>
      <c r="H299" s="198"/>
      <c r="I299" s="198"/>
      <c r="J299" s="198"/>
    </row>
    <row r="300" spans="2:10" s="15" customFormat="1" x14ac:dyDescent="0.25">
      <c r="B300" s="26"/>
      <c r="D300" s="8"/>
      <c r="E300" s="8"/>
      <c r="F300" s="198"/>
      <c r="G300" s="198"/>
      <c r="H300" s="198"/>
      <c r="I300" s="198"/>
      <c r="J300" s="198"/>
    </row>
    <row r="301" spans="2:10" s="15" customFormat="1" x14ac:dyDescent="0.25">
      <c r="B301" s="26"/>
      <c r="D301" s="8"/>
      <c r="E301" s="8"/>
      <c r="F301" s="198"/>
      <c r="G301" s="198"/>
      <c r="H301" s="198"/>
      <c r="I301" s="198"/>
      <c r="J301" s="198"/>
    </row>
    <row r="302" spans="2:10" s="15" customFormat="1" x14ac:dyDescent="0.25">
      <c r="B302" s="26"/>
      <c r="D302" s="8"/>
      <c r="E302" s="8"/>
      <c r="F302" s="198"/>
      <c r="G302" s="198"/>
      <c r="H302" s="198"/>
      <c r="I302" s="198"/>
      <c r="J302" s="198"/>
    </row>
    <row r="303" spans="2:10" s="15" customFormat="1" x14ac:dyDescent="0.25">
      <c r="B303" s="26"/>
      <c r="D303" s="8"/>
      <c r="E303" s="8"/>
      <c r="F303" s="198"/>
      <c r="G303" s="198"/>
      <c r="H303" s="198"/>
      <c r="I303" s="198"/>
      <c r="J303" s="198"/>
    </row>
    <row r="304" spans="2:10" s="15" customFormat="1" x14ac:dyDescent="0.25">
      <c r="B304" s="26"/>
      <c r="D304" s="8"/>
      <c r="E304" s="8"/>
      <c r="F304" s="198"/>
      <c r="G304" s="198"/>
      <c r="H304" s="198"/>
      <c r="I304" s="198"/>
      <c r="J304" s="198"/>
    </row>
    <row r="305" spans="2:10" s="15" customFormat="1" x14ac:dyDescent="0.25">
      <c r="B305" s="26"/>
      <c r="D305" s="8"/>
      <c r="E305" s="8"/>
      <c r="F305" s="198"/>
      <c r="G305" s="198"/>
      <c r="H305" s="198"/>
      <c r="I305" s="198"/>
      <c r="J305" s="198"/>
    </row>
    <row r="306" spans="2:10" s="15" customFormat="1" x14ac:dyDescent="0.25">
      <c r="B306" s="26"/>
      <c r="D306" s="8"/>
      <c r="E306" s="8"/>
      <c r="F306" s="198"/>
      <c r="G306" s="198"/>
      <c r="H306" s="198"/>
      <c r="I306" s="198"/>
      <c r="J306" s="198"/>
    </row>
    <row r="307" spans="2:10" s="15" customFormat="1" x14ac:dyDescent="0.25">
      <c r="B307" s="26"/>
      <c r="D307" s="8"/>
      <c r="E307" s="8"/>
      <c r="F307" s="198"/>
      <c r="G307" s="198"/>
      <c r="H307" s="198"/>
      <c r="I307" s="198"/>
      <c r="J307" s="198"/>
    </row>
    <row r="308" spans="2:10" s="15" customFormat="1" x14ac:dyDescent="0.25">
      <c r="B308" s="26"/>
      <c r="D308" s="8"/>
      <c r="E308" s="8"/>
      <c r="F308" s="198"/>
      <c r="G308" s="198"/>
      <c r="H308" s="198"/>
      <c r="I308" s="198"/>
      <c r="J308" s="198"/>
    </row>
    <row r="309" spans="2:10" s="15" customFormat="1" x14ac:dyDescent="0.25">
      <c r="B309" s="26"/>
      <c r="D309" s="8"/>
      <c r="E309" s="8"/>
      <c r="F309" s="198"/>
      <c r="G309" s="198"/>
      <c r="H309" s="198"/>
      <c r="I309" s="198"/>
      <c r="J309" s="198"/>
    </row>
    <row r="310" spans="2:10" s="15" customFormat="1" x14ac:dyDescent="0.25">
      <c r="B310" s="26"/>
      <c r="D310" s="8"/>
      <c r="E310" s="8"/>
      <c r="F310" s="198"/>
      <c r="G310" s="198"/>
      <c r="H310" s="198"/>
      <c r="I310" s="198"/>
      <c r="J310" s="198"/>
    </row>
    <row r="311" spans="2:10" s="15" customFormat="1" x14ac:dyDescent="0.25">
      <c r="B311" s="26"/>
      <c r="D311" s="8"/>
      <c r="E311" s="8"/>
      <c r="F311" s="198"/>
      <c r="G311" s="198"/>
      <c r="H311" s="198"/>
      <c r="I311" s="198"/>
      <c r="J311" s="198"/>
    </row>
    <row r="312" spans="2:10" s="15" customFormat="1" x14ac:dyDescent="0.25">
      <c r="B312" s="26"/>
      <c r="D312" s="8"/>
      <c r="E312" s="8"/>
      <c r="F312" s="198"/>
      <c r="G312" s="198"/>
      <c r="H312" s="198"/>
      <c r="I312" s="198"/>
      <c r="J312" s="198"/>
    </row>
    <row r="313" spans="2:10" s="15" customFormat="1" x14ac:dyDescent="0.25">
      <c r="B313" s="26"/>
      <c r="D313" s="8"/>
      <c r="E313" s="8"/>
      <c r="F313" s="198"/>
      <c r="G313" s="198"/>
      <c r="H313" s="198"/>
      <c r="I313" s="198"/>
      <c r="J313" s="198"/>
    </row>
    <row r="314" spans="2:10" s="15" customFormat="1" x14ac:dyDescent="0.25">
      <c r="B314" s="26"/>
      <c r="D314" s="8"/>
      <c r="E314" s="8"/>
      <c r="F314" s="198"/>
      <c r="G314" s="198"/>
      <c r="H314" s="198"/>
      <c r="I314" s="198"/>
      <c r="J314" s="198"/>
    </row>
    <row r="315" spans="2:10" s="15" customFormat="1" x14ac:dyDescent="0.25">
      <c r="B315" s="26"/>
      <c r="D315" s="8"/>
      <c r="E315" s="8"/>
      <c r="F315" s="198"/>
      <c r="G315" s="198"/>
      <c r="H315" s="198"/>
      <c r="I315" s="198"/>
      <c r="J315" s="198"/>
    </row>
    <row r="316" spans="2:10" s="15" customFormat="1" x14ac:dyDescent="0.25">
      <c r="B316" s="26"/>
      <c r="D316" s="8"/>
      <c r="E316" s="8"/>
      <c r="F316" s="198"/>
      <c r="G316" s="198"/>
      <c r="H316" s="198"/>
      <c r="I316" s="198"/>
      <c r="J316" s="198"/>
    </row>
    <row r="317" spans="2:10" s="15" customFormat="1" x14ac:dyDescent="0.25">
      <c r="B317" s="26"/>
      <c r="D317" s="8"/>
      <c r="E317" s="8"/>
      <c r="F317" s="198"/>
      <c r="G317" s="198"/>
      <c r="H317" s="198"/>
      <c r="I317" s="198"/>
      <c r="J317" s="198"/>
    </row>
    <row r="318" spans="2:10" s="15" customFormat="1" x14ac:dyDescent="0.25">
      <c r="B318" s="26"/>
      <c r="D318" s="8"/>
      <c r="E318" s="8"/>
      <c r="F318" s="198"/>
      <c r="G318" s="198"/>
      <c r="H318" s="198"/>
      <c r="I318" s="198"/>
      <c r="J318" s="198"/>
    </row>
    <row r="319" spans="2:10" s="15" customFormat="1" x14ac:dyDescent="0.25">
      <c r="B319" s="26"/>
      <c r="D319" s="8"/>
      <c r="E319" s="8"/>
      <c r="F319" s="198"/>
      <c r="G319" s="198"/>
      <c r="H319" s="198"/>
      <c r="I319" s="198"/>
      <c r="J319" s="198"/>
    </row>
    <row r="320" spans="2:10" s="15" customFormat="1" x14ac:dyDescent="0.25">
      <c r="B320" s="26"/>
      <c r="D320" s="8"/>
      <c r="E320" s="8"/>
      <c r="F320" s="198"/>
      <c r="G320" s="198"/>
      <c r="H320" s="198"/>
      <c r="I320" s="198"/>
      <c r="J320" s="198"/>
    </row>
    <row r="321" spans="2:10" s="15" customFormat="1" x14ac:dyDescent="0.25">
      <c r="B321" s="26"/>
      <c r="D321" s="8"/>
      <c r="E321" s="8"/>
      <c r="F321" s="198"/>
      <c r="G321" s="198"/>
      <c r="H321" s="198"/>
      <c r="I321" s="198"/>
      <c r="J321" s="198"/>
    </row>
    <row r="322" spans="2:10" s="15" customFormat="1" x14ac:dyDescent="0.25">
      <c r="B322" s="26"/>
      <c r="D322" s="8"/>
      <c r="E322" s="8"/>
      <c r="F322" s="198"/>
      <c r="G322" s="198"/>
      <c r="H322" s="198"/>
      <c r="I322" s="198"/>
      <c r="J322" s="198"/>
    </row>
    <row r="323" spans="2:10" s="15" customFormat="1" x14ac:dyDescent="0.25">
      <c r="B323" s="26"/>
      <c r="D323" s="8"/>
      <c r="E323" s="8"/>
      <c r="F323" s="198"/>
      <c r="G323" s="198"/>
      <c r="H323" s="198"/>
      <c r="I323" s="198"/>
      <c r="J323" s="198"/>
    </row>
    <row r="324" spans="2:10" s="15" customFormat="1" x14ac:dyDescent="0.25">
      <c r="B324" s="26"/>
      <c r="D324" s="8"/>
      <c r="E324" s="8"/>
      <c r="F324" s="198"/>
      <c r="G324" s="198"/>
      <c r="H324" s="198"/>
      <c r="I324" s="198"/>
      <c r="J324" s="198"/>
    </row>
    <row r="325" spans="2:10" s="15" customFormat="1" x14ac:dyDescent="0.25">
      <c r="B325" s="26"/>
      <c r="D325" s="8"/>
      <c r="E325" s="8"/>
      <c r="F325" s="198"/>
      <c r="G325" s="198"/>
      <c r="H325" s="198"/>
      <c r="I325" s="198"/>
      <c r="J325" s="198"/>
    </row>
    <row r="326" spans="2:10" s="15" customFormat="1" x14ac:dyDescent="0.25">
      <c r="B326" s="26"/>
      <c r="D326" s="8"/>
      <c r="E326" s="8"/>
      <c r="F326" s="198"/>
      <c r="G326" s="198"/>
      <c r="H326" s="198"/>
      <c r="I326" s="198"/>
      <c r="J326" s="198"/>
    </row>
    <row r="327" spans="2:10" s="15" customFormat="1" x14ac:dyDescent="0.25">
      <c r="B327" s="26"/>
      <c r="D327" s="8"/>
      <c r="E327" s="8"/>
      <c r="F327" s="198"/>
      <c r="G327" s="198"/>
      <c r="H327" s="198"/>
      <c r="I327" s="198"/>
      <c r="J327" s="198"/>
    </row>
    <row r="328" spans="2:10" s="15" customFormat="1" x14ac:dyDescent="0.25">
      <c r="B328" s="26"/>
      <c r="D328" s="8"/>
      <c r="E328" s="8"/>
      <c r="F328" s="198"/>
      <c r="G328" s="198"/>
      <c r="H328" s="198"/>
      <c r="I328" s="198"/>
      <c r="J328" s="198"/>
    </row>
    <row r="329" spans="2:10" s="15" customFormat="1" x14ac:dyDescent="0.25">
      <c r="B329" s="26"/>
      <c r="D329" s="8"/>
      <c r="E329" s="8"/>
      <c r="F329" s="198"/>
      <c r="G329" s="198"/>
      <c r="H329" s="198"/>
      <c r="I329" s="198"/>
      <c r="J329" s="198"/>
    </row>
    <row r="330" spans="2:10" s="15" customFormat="1" x14ac:dyDescent="0.25">
      <c r="B330" s="26"/>
      <c r="D330" s="8"/>
      <c r="E330" s="8"/>
      <c r="F330" s="198"/>
      <c r="G330" s="198"/>
      <c r="H330" s="198"/>
      <c r="I330" s="198"/>
      <c r="J330" s="198"/>
    </row>
    <row r="331" spans="2:10" s="15" customFormat="1" x14ac:dyDescent="0.25">
      <c r="B331" s="26"/>
      <c r="D331" s="8"/>
      <c r="E331" s="8"/>
      <c r="F331" s="198"/>
      <c r="G331" s="198"/>
      <c r="H331" s="198"/>
      <c r="I331" s="198"/>
      <c r="J331" s="198"/>
    </row>
    <row r="332" spans="2:10" s="15" customFormat="1" x14ac:dyDescent="0.25">
      <c r="B332" s="26"/>
      <c r="D332" s="8"/>
      <c r="E332" s="8"/>
      <c r="F332" s="198"/>
      <c r="G332" s="198"/>
      <c r="H332" s="198"/>
      <c r="I332" s="198"/>
      <c r="J332" s="198"/>
    </row>
    <row r="333" spans="2:10" s="15" customFormat="1" x14ac:dyDescent="0.25">
      <c r="B333" s="26"/>
      <c r="D333" s="8"/>
      <c r="E333" s="8"/>
      <c r="F333" s="198"/>
      <c r="G333" s="198"/>
      <c r="H333" s="198"/>
      <c r="I333" s="198"/>
      <c r="J333" s="198"/>
    </row>
    <row r="334" spans="2:10" s="15" customFormat="1" x14ac:dyDescent="0.25">
      <c r="B334" s="26"/>
      <c r="D334" s="8"/>
      <c r="E334" s="8"/>
      <c r="F334" s="198"/>
      <c r="G334" s="198"/>
      <c r="H334" s="198"/>
      <c r="I334" s="198"/>
      <c r="J334" s="198"/>
    </row>
    <row r="335" spans="2:10" s="15" customFormat="1" x14ac:dyDescent="0.25">
      <c r="B335" s="26"/>
      <c r="D335" s="8"/>
      <c r="E335" s="8"/>
      <c r="F335" s="198"/>
      <c r="G335" s="198"/>
      <c r="H335" s="198"/>
      <c r="I335" s="198"/>
      <c r="J335" s="198"/>
    </row>
    <row r="336" spans="2:10" s="15" customFormat="1" x14ac:dyDescent="0.25">
      <c r="B336" s="26"/>
      <c r="D336" s="8"/>
      <c r="E336" s="8"/>
      <c r="F336" s="198"/>
      <c r="G336" s="198"/>
      <c r="H336" s="198"/>
      <c r="I336" s="198"/>
      <c r="J336" s="198"/>
    </row>
    <row r="337" spans="2:10" s="15" customFormat="1" x14ac:dyDescent="0.25">
      <c r="B337" s="26"/>
      <c r="D337" s="8"/>
      <c r="E337" s="8"/>
      <c r="F337" s="198"/>
      <c r="G337" s="198"/>
      <c r="H337" s="198"/>
      <c r="I337" s="198"/>
      <c r="J337" s="198"/>
    </row>
    <row r="338" spans="2:10" s="15" customFormat="1" x14ac:dyDescent="0.25">
      <c r="B338" s="26"/>
      <c r="D338" s="8"/>
      <c r="E338" s="8"/>
      <c r="F338" s="198"/>
      <c r="G338" s="198"/>
      <c r="H338" s="198"/>
      <c r="I338" s="198"/>
      <c r="J338" s="198"/>
    </row>
    <row r="339" spans="2:10" s="15" customFormat="1" x14ac:dyDescent="0.25">
      <c r="B339" s="26"/>
      <c r="D339" s="8"/>
      <c r="E339" s="8"/>
      <c r="F339" s="198"/>
      <c r="G339" s="198"/>
      <c r="H339" s="198"/>
      <c r="I339" s="198"/>
      <c r="J339" s="198"/>
    </row>
    <row r="340" spans="2:10" s="15" customFormat="1" x14ac:dyDescent="0.25">
      <c r="B340" s="26"/>
      <c r="D340" s="8"/>
      <c r="E340" s="8"/>
      <c r="F340" s="198"/>
      <c r="G340" s="198"/>
      <c r="H340" s="198"/>
      <c r="I340" s="198"/>
      <c r="J340" s="198"/>
    </row>
    <row r="341" spans="2:10" s="15" customFormat="1" x14ac:dyDescent="0.25">
      <c r="B341" s="26"/>
      <c r="D341" s="8"/>
      <c r="E341" s="8"/>
      <c r="F341" s="198"/>
      <c r="G341" s="198"/>
      <c r="H341" s="198"/>
      <c r="I341" s="198"/>
      <c r="J341" s="198"/>
    </row>
    <row r="342" spans="2:10" s="15" customFormat="1" x14ac:dyDescent="0.25">
      <c r="B342" s="26"/>
      <c r="D342" s="8"/>
      <c r="E342" s="8"/>
      <c r="F342" s="198"/>
      <c r="G342" s="198"/>
      <c r="H342" s="198"/>
      <c r="I342" s="198"/>
      <c r="J342" s="198"/>
    </row>
    <row r="343" spans="2:10" s="15" customFormat="1" x14ac:dyDescent="0.25">
      <c r="B343" s="26"/>
      <c r="D343" s="8"/>
      <c r="E343" s="8"/>
      <c r="F343" s="198"/>
      <c r="G343" s="198"/>
      <c r="H343" s="198"/>
      <c r="I343" s="198"/>
      <c r="J343" s="198"/>
    </row>
    <row r="344" spans="2:10" s="15" customFormat="1" x14ac:dyDescent="0.25">
      <c r="B344" s="26"/>
      <c r="D344" s="8"/>
      <c r="E344" s="8"/>
      <c r="F344" s="198"/>
      <c r="G344" s="198"/>
      <c r="H344" s="198"/>
      <c r="I344" s="198"/>
      <c r="J344" s="198"/>
    </row>
    <row r="345" spans="2:10" s="15" customFormat="1" x14ac:dyDescent="0.25">
      <c r="B345" s="26"/>
      <c r="D345" s="8"/>
      <c r="E345" s="8"/>
      <c r="F345" s="198"/>
      <c r="G345" s="198"/>
      <c r="H345" s="198"/>
      <c r="I345" s="198"/>
      <c r="J345" s="198"/>
    </row>
    <row r="346" spans="2:10" s="15" customFormat="1" x14ac:dyDescent="0.25">
      <c r="B346" s="26"/>
      <c r="D346" s="8"/>
      <c r="E346" s="8"/>
      <c r="F346" s="198"/>
      <c r="G346" s="198"/>
      <c r="H346" s="198"/>
      <c r="I346" s="198"/>
      <c r="J346" s="198"/>
    </row>
    <row r="347" spans="2:10" s="15" customFormat="1" x14ac:dyDescent="0.25">
      <c r="B347" s="26"/>
      <c r="D347" s="8"/>
      <c r="E347" s="8"/>
      <c r="F347" s="198"/>
      <c r="G347" s="198"/>
      <c r="H347" s="198"/>
      <c r="I347" s="198"/>
      <c r="J347" s="198"/>
    </row>
    <row r="348" spans="2:10" s="15" customFormat="1" x14ac:dyDescent="0.25">
      <c r="B348" s="26"/>
      <c r="D348" s="8"/>
      <c r="E348" s="8"/>
      <c r="F348" s="198"/>
      <c r="G348" s="198"/>
      <c r="H348" s="198"/>
      <c r="I348" s="198"/>
      <c r="J348" s="198"/>
    </row>
    <row r="349" spans="2:10" s="15" customFormat="1" x14ac:dyDescent="0.25">
      <c r="B349" s="26"/>
      <c r="D349" s="8"/>
      <c r="E349" s="8"/>
      <c r="F349" s="198"/>
      <c r="G349" s="198"/>
      <c r="H349" s="198"/>
      <c r="I349" s="198"/>
      <c r="J349" s="198"/>
    </row>
    <row r="350" spans="2:10" s="15" customFormat="1" x14ac:dyDescent="0.25">
      <c r="B350" s="26"/>
      <c r="D350" s="8"/>
      <c r="E350" s="8"/>
      <c r="F350" s="198"/>
      <c r="G350" s="198"/>
      <c r="H350" s="198"/>
      <c r="I350" s="198"/>
      <c r="J350" s="198"/>
    </row>
    <row r="351" spans="2:10" s="15" customFormat="1" x14ac:dyDescent="0.25">
      <c r="B351" s="26"/>
      <c r="D351" s="8"/>
      <c r="E351" s="8"/>
      <c r="F351" s="198"/>
      <c r="G351" s="198"/>
      <c r="H351" s="198"/>
      <c r="I351" s="198"/>
      <c r="J351" s="198"/>
    </row>
    <row r="352" spans="2:10" s="15" customFormat="1" x14ac:dyDescent="0.25">
      <c r="B352" s="26"/>
      <c r="D352" s="8"/>
      <c r="E352" s="8"/>
      <c r="F352" s="198"/>
      <c r="G352" s="198"/>
      <c r="H352" s="198"/>
      <c r="I352" s="198"/>
      <c r="J352" s="198"/>
    </row>
    <row r="353" spans="2:10" s="15" customFormat="1" x14ac:dyDescent="0.25">
      <c r="B353" s="26"/>
      <c r="D353" s="8"/>
      <c r="E353" s="8"/>
      <c r="F353" s="198"/>
      <c r="G353" s="198"/>
      <c r="H353" s="198"/>
      <c r="I353" s="198"/>
      <c r="J353" s="198"/>
    </row>
    <row r="354" spans="2:10" s="15" customFormat="1" x14ac:dyDescent="0.25">
      <c r="B354" s="26"/>
      <c r="D354" s="8"/>
      <c r="E354" s="8"/>
      <c r="F354" s="198"/>
      <c r="G354" s="198"/>
      <c r="H354" s="198"/>
      <c r="I354" s="198"/>
      <c r="J354" s="198"/>
    </row>
    <row r="355" spans="2:10" s="15" customFormat="1" x14ac:dyDescent="0.25">
      <c r="B355" s="26"/>
      <c r="D355" s="8"/>
      <c r="E355" s="8"/>
      <c r="F355" s="198"/>
      <c r="G355" s="198"/>
      <c r="H355" s="198"/>
      <c r="I355" s="198"/>
      <c r="J355" s="198"/>
    </row>
    <row r="356" spans="2:10" s="15" customFormat="1" x14ac:dyDescent="0.25">
      <c r="B356" s="26"/>
      <c r="D356" s="8"/>
      <c r="E356" s="8"/>
      <c r="F356" s="198"/>
      <c r="G356" s="198"/>
      <c r="H356" s="198"/>
      <c r="I356" s="198"/>
      <c r="J356" s="198"/>
    </row>
    <row r="357" spans="2:10" s="15" customFormat="1" x14ac:dyDescent="0.25">
      <c r="B357" s="26"/>
      <c r="D357" s="8"/>
      <c r="E357" s="8"/>
      <c r="F357" s="198"/>
      <c r="G357" s="198"/>
      <c r="H357" s="198"/>
      <c r="I357" s="198"/>
      <c r="J357" s="198"/>
    </row>
    <row r="358" spans="2:10" s="15" customFormat="1" x14ac:dyDescent="0.25">
      <c r="B358" s="26"/>
      <c r="D358" s="8"/>
      <c r="E358" s="8"/>
      <c r="F358" s="198"/>
      <c r="G358" s="198"/>
      <c r="H358" s="198"/>
      <c r="I358" s="198"/>
      <c r="J358" s="198"/>
    </row>
    <row r="359" spans="2:10" s="15" customFormat="1" x14ac:dyDescent="0.25">
      <c r="B359" s="26"/>
      <c r="D359" s="8"/>
      <c r="E359" s="8"/>
      <c r="F359" s="198"/>
      <c r="G359" s="198"/>
      <c r="H359" s="198"/>
      <c r="I359" s="198"/>
      <c r="J359" s="198"/>
    </row>
    <row r="360" spans="2:10" s="15" customFormat="1" x14ac:dyDescent="0.25">
      <c r="B360" s="26"/>
      <c r="D360" s="8"/>
      <c r="E360" s="8"/>
      <c r="F360" s="198"/>
      <c r="G360" s="198"/>
      <c r="H360" s="198"/>
      <c r="I360" s="198"/>
      <c r="J360" s="198"/>
    </row>
    <row r="361" spans="2:10" s="15" customFormat="1" x14ac:dyDescent="0.25">
      <c r="B361" s="26"/>
      <c r="D361" s="8"/>
      <c r="E361" s="8"/>
      <c r="F361" s="198"/>
      <c r="G361" s="198"/>
      <c r="H361" s="198"/>
      <c r="I361" s="198"/>
      <c r="J361" s="198"/>
    </row>
    <row r="362" spans="2:10" s="15" customFormat="1" x14ac:dyDescent="0.25">
      <c r="B362" s="26"/>
      <c r="D362" s="8"/>
      <c r="E362" s="8"/>
      <c r="F362" s="198"/>
      <c r="G362" s="198"/>
      <c r="H362" s="198"/>
      <c r="I362" s="198"/>
      <c r="J362" s="198"/>
    </row>
    <row r="363" spans="2:10" s="15" customFormat="1" x14ac:dyDescent="0.25">
      <c r="B363" s="26"/>
      <c r="D363" s="8"/>
      <c r="E363" s="8"/>
      <c r="F363" s="198"/>
      <c r="G363" s="198"/>
      <c r="H363" s="198"/>
      <c r="I363" s="198"/>
      <c r="J363" s="198"/>
    </row>
    <row r="364" spans="2:10" s="15" customFormat="1" x14ac:dyDescent="0.25">
      <c r="B364" s="26"/>
      <c r="D364" s="8"/>
      <c r="E364" s="8"/>
      <c r="F364" s="198"/>
      <c r="G364" s="198"/>
      <c r="H364" s="198"/>
      <c r="I364" s="198"/>
      <c r="J364" s="198"/>
    </row>
    <row r="365" spans="2:10" s="15" customFormat="1" x14ac:dyDescent="0.25">
      <c r="B365" s="26"/>
      <c r="D365" s="8"/>
      <c r="E365" s="8"/>
      <c r="F365" s="198"/>
      <c r="G365" s="198"/>
      <c r="H365" s="198"/>
      <c r="I365" s="198"/>
      <c r="J365" s="198"/>
    </row>
    <row r="366" spans="2:10" s="15" customFormat="1" x14ac:dyDescent="0.25">
      <c r="B366" s="26"/>
      <c r="D366" s="8"/>
      <c r="E366" s="8"/>
      <c r="F366" s="198"/>
      <c r="G366" s="198"/>
      <c r="H366" s="198"/>
      <c r="I366" s="198"/>
      <c r="J366" s="198"/>
    </row>
    <row r="367" spans="2:10" s="15" customFormat="1" x14ac:dyDescent="0.25">
      <c r="B367" s="26"/>
      <c r="D367" s="8"/>
      <c r="E367" s="8"/>
      <c r="F367" s="198"/>
      <c r="G367" s="198"/>
      <c r="H367" s="198"/>
      <c r="I367" s="198"/>
      <c r="J367" s="198"/>
    </row>
    <row r="368" spans="2:10" s="15" customFormat="1" x14ac:dyDescent="0.25">
      <c r="B368" s="26"/>
      <c r="D368" s="8"/>
      <c r="E368" s="8"/>
      <c r="F368" s="198"/>
      <c r="G368" s="198"/>
      <c r="H368" s="198"/>
      <c r="I368" s="198"/>
      <c r="J368" s="198"/>
    </row>
    <row r="369" spans="2:10" s="15" customFormat="1" x14ac:dyDescent="0.25">
      <c r="B369" s="26"/>
      <c r="D369" s="8"/>
      <c r="E369" s="8"/>
      <c r="F369" s="198"/>
      <c r="G369" s="198"/>
      <c r="H369" s="198"/>
      <c r="I369" s="198"/>
      <c r="J369" s="198"/>
    </row>
    <row r="370" spans="2:10" s="15" customFormat="1" x14ac:dyDescent="0.25">
      <c r="B370" s="26"/>
      <c r="D370" s="8"/>
      <c r="E370" s="8"/>
      <c r="F370" s="198"/>
      <c r="G370" s="198"/>
      <c r="H370" s="198"/>
      <c r="I370" s="198"/>
      <c r="J370" s="198"/>
    </row>
    <row r="371" spans="2:10" s="15" customFormat="1" x14ac:dyDescent="0.25">
      <c r="B371" s="26"/>
      <c r="D371" s="8"/>
      <c r="E371" s="8"/>
      <c r="F371" s="198"/>
      <c r="G371" s="198"/>
      <c r="H371" s="198"/>
      <c r="I371" s="198"/>
      <c r="J371" s="198"/>
    </row>
    <row r="372" spans="2:10" s="15" customFormat="1" x14ac:dyDescent="0.25">
      <c r="B372" s="26"/>
      <c r="D372" s="8"/>
      <c r="E372" s="8"/>
      <c r="F372" s="198"/>
      <c r="G372" s="198"/>
      <c r="H372" s="198"/>
      <c r="I372" s="198"/>
      <c r="J372" s="198"/>
    </row>
    <row r="373" spans="2:10" s="15" customFormat="1" x14ac:dyDescent="0.25">
      <c r="B373" s="26"/>
      <c r="D373" s="8"/>
      <c r="E373" s="8"/>
      <c r="F373" s="198"/>
      <c r="G373" s="198"/>
      <c r="H373" s="198"/>
      <c r="I373" s="198"/>
      <c r="J373" s="198"/>
    </row>
    <row r="374" spans="2:10" s="15" customFormat="1" x14ac:dyDescent="0.25">
      <c r="B374" s="26"/>
      <c r="D374" s="8"/>
      <c r="E374" s="8"/>
      <c r="F374" s="198"/>
      <c r="G374" s="198"/>
      <c r="H374" s="198"/>
      <c r="I374" s="198"/>
      <c r="J374" s="198"/>
    </row>
    <row r="375" spans="2:10" s="15" customFormat="1" x14ac:dyDescent="0.25">
      <c r="B375" s="26"/>
      <c r="D375" s="8"/>
      <c r="E375" s="8"/>
      <c r="F375" s="198"/>
      <c r="G375" s="198"/>
      <c r="H375" s="198"/>
      <c r="I375" s="198"/>
      <c r="J375" s="198"/>
    </row>
    <row r="376" spans="2:10" s="15" customFormat="1" x14ac:dyDescent="0.25">
      <c r="B376" s="26"/>
      <c r="D376" s="8"/>
      <c r="E376" s="8"/>
      <c r="F376" s="198"/>
      <c r="G376" s="198"/>
      <c r="H376" s="198"/>
      <c r="I376" s="198"/>
      <c r="J376" s="198"/>
    </row>
    <row r="377" spans="2:10" s="15" customFormat="1" x14ac:dyDescent="0.25">
      <c r="B377" s="26"/>
      <c r="D377" s="8"/>
      <c r="E377" s="8"/>
      <c r="F377" s="198"/>
      <c r="G377" s="198"/>
      <c r="H377" s="198"/>
      <c r="I377" s="198"/>
      <c r="J377" s="198"/>
    </row>
    <row r="378" spans="2:10" s="15" customFormat="1" x14ac:dyDescent="0.25">
      <c r="B378" s="26"/>
      <c r="D378" s="8"/>
      <c r="E378" s="8"/>
      <c r="F378" s="198"/>
      <c r="G378" s="198"/>
      <c r="H378" s="198"/>
      <c r="I378" s="198"/>
      <c r="J378" s="198"/>
    </row>
    <row r="379" spans="2:10" s="15" customFormat="1" x14ac:dyDescent="0.25">
      <c r="B379" s="26"/>
      <c r="D379" s="8"/>
      <c r="E379" s="8"/>
      <c r="F379" s="198"/>
      <c r="G379" s="198"/>
      <c r="H379" s="198"/>
      <c r="I379" s="198"/>
      <c r="J379" s="198"/>
    </row>
    <row r="380" spans="2:10" s="15" customFormat="1" x14ac:dyDescent="0.25">
      <c r="B380" s="26"/>
      <c r="D380" s="8"/>
      <c r="E380" s="8"/>
      <c r="F380" s="198"/>
      <c r="G380" s="198"/>
      <c r="H380" s="198"/>
      <c r="I380" s="198"/>
      <c r="J380" s="198"/>
    </row>
    <row r="381" spans="2:10" s="15" customFormat="1" x14ac:dyDescent="0.25">
      <c r="B381" s="26"/>
      <c r="D381" s="8"/>
      <c r="E381" s="8"/>
      <c r="F381" s="198"/>
      <c r="G381" s="198"/>
      <c r="H381" s="198"/>
      <c r="I381" s="198"/>
      <c r="J381" s="198"/>
    </row>
    <row r="382" spans="2:10" s="15" customFormat="1" x14ac:dyDescent="0.25">
      <c r="B382" s="26"/>
      <c r="D382" s="8"/>
      <c r="E382" s="8"/>
      <c r="F382" s="198"/>
      <c r="G382" s="198"/>
      <c r="H382" s="198"/>
      <c r="I382" s="198"/>
      <c r="J382" s="198"/>
    </row>
    <row r="383" spans="2:10" s="15" customFormat="1" x14ac:dyDescent="0.25">
      <c r="B383" s="26"/>
      <c r="D383" s="8"/>
      <c r="E383" s="8"/>
      <c r="F383" s="198"/>
      <c r="G383" s="198"/>
      <c r="H383" s="198"/>
      <c r="I383" s="198"/>
      <c r="J383" s="198"/>
    </row>
    <row r="384" spans="2:10" s="15" customFormat="1" x14ac:dyDescent="0.25">
      <c r="B384" s="26"/>
      <c r="D384" s="8"/>
      <c r="E384" s="8"/>
      <c r="F384" s="198"/>
      <c r="G384" s="198"/>
      <c r="H384" s="198"/>
      <c r="I384" s="198"/>
      <c r="J384" s="198"/>
    </row>
    <row r="385" spans="2:10" s="15" customFormat="1" x14ac:dyDescent="0.25">
      <c r="B385" s="26"/>
      <c r="D385" s="8"/>
      <c r="E385" s="8"/>
      <c r="F385" s="198"/>
      <c r="G385" s="198"/>
      <c r="H385" s="198"/>
      <c r="I385" s="198"/>
      <c r="J385" s="198"/>
    </row>
    <row r="386" spans="2:10" s="15" customFormat="1" x14ac:dyDescent="0.25">
      <c r="B386" s="26"/>
      <c r="D386" s="8"/>
      <c r="E386" s="8"/>
      <c r="F386" s="198"/>
      <c r="G386" s="198"/>
      <c r="H386" s="198"/>
      <c r="I386" s="198"/>
      <c r="J386" s="198"/>
    </row>
    <row r="387" spans="2:10" s="15" customFormat="1" x14ac:dyDescent="0.25">
      <c r="B387" s="26"/>
      <c r="D387" s="8"/>
      <c r="E387" s="8"/>
      <c r="F387" s="198"/>
      <c r="G387" s="198"/>
      <c r="H387" s="198"/>
      <c r="I387" s="198"/>
      <c r="J387" s="198"/>
    </row>
    <row r="388" spans="2:10" s="15" customFormat="1" x14ac:dyDescent="0.25">
      <c r="B388" s="26"/>
      <c r="D388" s="8"/>
      <c r="E388" s="8"/>
      <c r="F388" s="198"/>
      <c r="G388" s="198"/>
      <c r="H388" s="198"/>
      <c r="I388" s="198"/>
      <c r="J388" s="198"/>
    </row>
    <row r="389" spans="2:10" s="15" customFormat="1" x14ac:dyDescent="0.25">
      <c r="B389" s="26"/>
      <c r="D389" s="8"/>
      <c r="E389" s="8"/>
      <c r="F389" s="198"/>
      <c r="G389" s="198"/>
      <c r="H389" s="198"/>
      <c r="I389" s="198"/>
      <c r="J389" s="198"/>
    </row>
    <row r="390" spans="2:10" s="15" customFormat="1" x14ac:dyDescent="0.25">
      <c r="B390" s="26"/>
      <c r="D390" s="8"/>
      <c r="E390" s="8"/>
      <c r="F390" s="198"/>
      <c r="G390" s="198"/>
      <c r="H390" s="198"/>
      <c r="I390" s="198"/>
      <c r="J390" s="198"/>
    </row>
    <row r="391" spans="2:10" s="15" customFormat="1" x14ac:dyDescent="0.25">
      <c r="B391" s="26"/>
      <c r="D391" s="8"/>
      <c r="E391" s="8"/>
      <c r="F391" s="198"/>
      <c r="G391" s="198"/>
      <c r="H391" s="198"/>
      <c r="I391" s="198"/>
      <c r="J391" s="198"/>
    </row>
    <row r="392" spans="2:10" s="15" customFormat="1" x14ac:dyDescent="0.25">
      <c r="B392" s="26"/>
      <c r="D392" s="8"/>
      <c r="E392" s="8"/>
      <c r="F392" s="198"/>
      <c r="G392" s="198"/>
      <c r="H392" s="198"/>
      <c r="I392" s="198"/>
      <c r="J392" s="198"/>
    </row>
    <row r="393" spans="2:10" s="15" customFormat="1" x14ac:dyDescent="0.25">
      <c r="B393" s="26"/>
      <c r="D393" s="8"/>
      <c r="E393" s="8"/>
      <c r="F393" s="198"/>
      <c r="G393" s="198"/>
      <c r="H393" s="198"/>
      <c r="I393" s="198"/>
      <c r="J393" s="198"/>
    </row>
    <row r="394" spans="2:10" s="15" customFormat="1" x14ac:dyDescent="0.25">
      <c r="B394" s="26"/>
      <c r="D394" s="8"/>
      <c r="E394" s="8"/>
      <c r="F394" s="198"/>
      <c r="G394" s="198"/>
      <c r="H394" s="198"/>
      <c r="I394" s="198"/>
      <c r="J394" s="198"/>
    </row>
    <row r="395" spans="2:10" s="15" customFormat="1" x14ac:dyDescent="0.25">
      <c r="B395" s="26"/>
      <c r="D395" s="8"/>
      <c r="E395" s="8"/>
      <c r="F395" s="198"/>
      <c r="G395" s="198"/>
      <c r="H395" s="198"/>
      <c r="I395" s="198"/>
      <c r="J395" s="198"/>
    </row>
    <row r="396" spans="2:10" s="15" customFormat="1" x14ac:dyDescent="0.25">
      <c r="B396" s="26"/>
      <c r="D396" s="8"/>
      <c r="E396" s="8"/>
      <c r="F396" s="198"/>
      <c r="G396" s="198"/>
      <c r="H396" s="198"/>
      <c r="I396" s="198"/>
      <c r="J396" s="198"/>
    </row>
    <row r="397" spans="2:10" s="15" customFormat="1" x14ac:dyDescent="0.25">
      <c r="B397" s="26"/>
      <c r="D397" s="8"/>
      <c r="E397" s="8"/>
      <c r="F397" s="198"/>
      <c r="G397" s="198"/>
      <c r="H397" s="198"/>
      <c r="I397" s="198"/>
      <c r="J397" s="198"/>
    </row>
    <row r="398" spans="2:10" s="15" customFormat="1" x14ac:dyDescent="0.25">
      <c r="B398" s="26"/>
      <c r="D398" s="8"/>
      <c r="E398" s="8"/>
      <c r="F398" s="198"/>
      <c r="G398" s="198"/>
      <c r="H398" s="198"/>
      <c r="I398" s="198"/>
      <c r="J398" s="198"/>
    </row>
    <row r="399" spans="2:10" s="15" customFormat="1" x14ac:dyDescent="0.25">
      <c r="B399" s="26"/>
      <c r="D399" s="8"/>
      <c r="E399" s="8"/>
      <c r="F399" s="198"/>
      <c r="G399" s="198"/>
      <c r="H399" s="198"/>
      <c r="I399" s="198"/>
      <c r="J399" s="198"/>
    </row>
    <row r="400" spans="2:10" s="15" customFormat="1" x14ac:dyDescent="0.25">
      <c r="B400" s="26"/>
      <c r="D400" s="8"/>
      <c r="E400" s="8"/>
      <c r="F400" s="198"/>
      <c r="G400" s="198"/>
      <c r="H400" s="198"/>
      <c r="I400" s="198"/>
      <c r="J400" s="198"/>
    </row>
    <row r="401" spans="2:10" s="15" customFormat="1" x14ac:dyDescent="0.25">
      <c r="B401" s="26"/>
      <c r="D401" s="8"/>
      <c r="E401" s="8"/>
      <c r="F401" s="198"/>
      <c r="G401" s="198"/>
      <c r="H401" s="198"/>
      <c r="I401" s="198"/>
      <c r="J401" s="198"/>
    </row>
    <row r="402" spans="2:10" s="15" customFormat="1" x14ac:dyDescent="0.25">
      <c r="B402" s="26"/>
      <c r="D402" s="8"/>
      <c r="E402" s="8"/>
      <c r="F402" s="198"/>
      <c r="G402" s="198"/>
      <c r="H402" s="198"/>
      <c r="I402" s="198"/>
      <c r="J402" s="198"/>
    </row>
    <row r="403" spans="2:10" s="15" customFormat="1" x14ac:dyDescent="0.25">
      <c r="B403" s="26"/>
      <c r="D403" s="8"/>
      <c r="E403" s="8"/>
      <c r="F403" s="198"/>
      <c r="G403" s="198"/>
      <c r="H403" s="198"/>
      <c r="I403" s="198"/>
      <c r="J403" s="198"/>
    </row>
    <row r="404" spans="2:10" s="15" customFormat="1" x14ac:dyDescent="0.25">
      <c r="B404" s="26"/>
      <c r="D404" s="8"/>
      <c r="E404" s="8"/>
      <c r="F404" s="198"/>
      <c r="G404" s="198"/>
      <c r="H404" s="198"/>
      <c r="I404" s="198"/>
      <c r="J404" s="198"/>
    </row>
    <row r="405" spans="2:10" s="15" customFormat="1" x14ac:dyDescent="0.25">
      <c r="B405" s="26"/>
      <c r="D405" s="8"/>
      <c r="E405" s="8"/>
      <c r="F405" s="198"/>
      <c r="G405" s="198"/>
      <c r="H405" s="198"/>
      <c r="I405" s="198"/>
      <c r="J405" s="198"/>
    </row>
    <row r="406" spans="2:10" s="15" customFormat="1" x14ac:dyDescent="0.25">
      <c r="B406" s="26"/>
      <c r="D406" s="8"/>
      <c r="E406" s="8"/>
      <c r="F406" s="198"/>
      <c r="G406" s="198"/>
      <c r="H406" s="198"/>
      <c r="I406" s="198"/>
      <c r="J406" s="198"/>
    </row>
    <row r="407" spans="2:10" s="15" customFormat="1" x14ac:dyDescent="0.25">
      <c r="B407" s="26"/>
      <c r="D407" s="8"/>
      <c r="E407" s="8"/>
      <c r="F407" s="198"/>
      <c r="G407" s="198"/>
      <c r="H407" s="198"/>
      <c r="I407" s="198"/>
      <c r="J407" s="198"/>
    </row>
    <row r="408" spans="2:10" s="15" customFormat="1" x14ac:dyDescent="0.25">
      <c r="B408" s="26"/>
      <c r="D408" s="8"/>
      <c r="E408" s="8"/>
      <c r="F408" s="198"/>
      <c r="G408" s="198"/>
      <c r="H408" s="198"/>
      <c r="I408" s="198"/>
      <c r="J408" s="198"/>
    </row>
    <row r="409" spans="2:10" s="15" customFormat="1" x14ac:dyDescent="0.25">
      <c r="B409" s="26"/>
      <c r="D409" s="8"/>
      <c r="E409" s="8"/>
      <c r="F409" s="198"/>
      <c r="G409" s="198"/>
      <c r="H409" s="198"/>
      <c r="I409" s="198"/>
      <c r="J409" s="198"/>
    </row>
    <row r="410" spans="2:10" s="15" customFormat="1" x14ac:dyDescent="0.25">
      <c r="B410" s="26"/>
      <c r="D410" s="8"/>
      <c r="E410" s="8"/>
      <c r="F410" s="198"/>
      <c r="G410" s="198"/>
      <c r="H410" s="198"/>
      <c r="I410" s="198"/>
      <c r="J410" s="198"/>
    </row>
    <row r="411" spans="2:10" s="15" customFormat="1" x14ac:dyDescent="0.25">
      <c r="B411" s="26"/>
      <c r="D411" s="8"/>
      <c r="E411" s="8"/>
      <c r="F411" s="198"/>
      <c r="G411" s="198"/>
      <c r="H411" s="198"/>
      <c r="I411" s="198"/>
      <c r="J411" s="198"/>
    </row>
    <row r="412" spans="2:10" s="15" customFormat="1" x14ac:dyDescent="0.25">
      <c r="B412" s="26"/>
      <c r="D412" s="8"/>
      <c r="E412" s="8"/>
      <c r="F412" s="198"/>
      <c r="G412" s="198"/>
      <c r="H412" s="198"/>
      <c r="I412" s="198"/>
      <c r="J412" s="198"/>
    </row>
    <row r="413" spans="2:10" s="15" customFormat="1" x14ac:dyDescent="0.25">
      <c r="B413" s="26"/>
      <c r="D413" s="8"/>
      <c r="E413" s="8"/>
      <c r="F413" s="198"/>
      <c r="G413" s="198"/>
      <c r="H413" s="198"/>
      <c r="I413" s="198"/>
      <c r="J413" s="198"/>
    </row>
    <row r="414" spans="2:10" s="15" customFormat="1" x14ac:dyDescent="0.25">
      <c r="B414" s="26"/>
      <c r="D414" s="8"/>
      <c r="E414" s="8"/>
      <c r="F414" s="198"/>
      <c r="G414" s="198"/>
      <c r="H414" s="198"/>
      <c r="I414" s="198"/>
      <c r="J414" s="198"/>
    </row>
    <row r="415" spans="2:10" s="15" customFormat="1" x14ac:dyDescent="0.25">
      <c r="B415" s="26"/>
      <c r="D415" s="8"/>
      <c r="E415" s="8"/>
      <c r="F415" s="198"/>
      <c r="G415" s="198"/>
      <c r="H415" s="198"/>
      <c r="I415" s="198"/>
      <c r="J415" s="198"/>
    </row>
    <row r="416" spans="2:10" s="15" customFormat="1" x14ac:dyDescent="0.25">
      <c r="B416" s="26"/>
      <c r="D416" s="8"/>
      <c r="E416" s="8"/>
      <c r="F416" s="198"/>
      <c r="G416" s="198"/>
      <c r="H416" s="198"/>
      <c r="I416" s="198"/>
      <c r="J416" s="198"/>
    </row>
    <row r="417" spans="2:10" s="15" customFormat="1" x14ac:dyDescent="0.25">
      <c r="B417" s="26"/>
      <c r="D417" s="8"/>
      <c r="E417" s="8"/>
      <c r="F417" s="198"/>
      <c r="G417" s="198"/>
      <c r="H417" s="198"/>
      <c r="I417" s="198"/>
      <c r="J417" s="198"/>
    </row>
    <row r="418" spans="2:10" s="15" customFormat="1" x14ac:dyDescent="0.25">
      <c r="B418" s="26"/>
      <c r="D418" s="8"/>
      <c r="E418" s="8"/>
      <c r="F418" s="198"/>
      <c r="G418" s="198"/>
      <c r="H418" s="198"/>
      <c r="I418" s="198"/>
      <c r="J418" s="198"/>
    </row>
    <row r="419" spans="2:10" s="15" customFormat="1" x14ac:dyDescent="0.25">
      <c r="B419" s="26"/>
      <c r="D419" s="8"/>
      <c r="E419" s="8"/>
      <c r="F419" s="198"/>
      <c r="G419" s="198"/>
      <c r="H419" s="198"/>
      <c r="I419" s="198"/>
      <c r="J419" s="198"/>
    </row>
    <row r="420" spans="2:10" s="15" customFormat="1" x14ac:dyDescent="0.25">
      <c r="B420" s="26"/>
      <c r="D420" s="8"/>
      <c r="E420" s="8"/>
      <c r="F420" s="198"/>
      <c r="G420" s="198"/>
      <c r="H420" s="198"/>
      <c r="I420" s="198"/>
      <c r="J420" s="198"/>
    </row>
    <row r="421" spans="2:10" s="15" customFormat="1" x14ac:dyDescent="0.25">
      <c r="B421" s="26"/>
      <c r="D421" s="8"/>
      <c r="E421" s="8"/>
      <c r="F421" s="198"/>
      <c r="G421" s="198"/>
      <c r="H421" s="198"/>
      <c r="I421" s="198"/>
      <c r="J421" s="198"/>
    </row>
    <row r="422" spans="2:10" s="15" customFormat="1" x14ac:dyDescent="0.25">
      <c r="B422" s="26"/>
      <c r="D422" s="8"/>
      <c r="E422" s="8"/>
      <c r="F422" s="198"/>
      <c r="G422" s="198"/>
      <c r="H422" s="198"/>
      <c r="I422" s="198"/>
      <c r="J422" s="198"/>
    </row>
    <row r="423" spans="2:10" s="15" customFormat="1" x14ac:dyDescent="0.25">
      <c r="B423" s="26"/>
      <c r="D423" s="8"/>
      <c r="E423" s="8"/>
      <c r="F423" s="198"/>
      <c r="G423" s="198"/>
      <c r="H423" s="198"/>
      <c r="I423" s="198"/>
      <c r="J423" s="198"/>
    </row>
    <row r="424" spans="2:10" s="15" customFormat="1" x14ac:dyDescent="0.25">
      <c r="B424" s="26"/>
      <c r="D424" s="8"/>
      <c r="E424" s="8"/>
      <c r="F424" s="198"/>
      <c r="G424" s="198"/>
      <c r="H424" s="198"/>
      <c r="I424" s="198"/>
      <c r="J424" s="198"/>
    </row>
    <row r="425" spans="2:10" s="15" customFormat="1" x14ac:dyDescent="0.25">
      <c r="B425" s="26"/>
      <c r="D425" s="8"/>
      <c r="E425" s="8"/>
      <c r="F425" s="198"/>
      <c r="G425" s="198"/>
      <c r="H425" s="198"/>
      <c r="I425" s="198"/>
      <c r="J425" s="198"/>
    </row>
    <row r="426" spans="2:10" s="15" customFormat="1" x14ac:dyDescent="0.25">
      <c r="B426" s="26"/>
      <c r="D426" s="8"/>
      <c r="E426" s="8"/>
      <c r="F426" s="198"/>
      <c r="G426" s="198"/>
      <c r="H426" s="198"/>
      <c r="I426" s="198"/>
      <c r="J426" s="198"/>
    </row>
    <row r="427" spans="2:10" s="15" customFormat="1" x14ac:dyDescent="0.25">
      <c r="B427" s="26"/>
      <c r="D427" s="8"/>
      <c r="E427" s="8"/>
      <c r="F427" s="198"/>
      <c r="G427" s="198"/>
      <c r="H427" s="198"/>
      <c r="I427" s="198"/>
      <c r="J427" s="198"/>
    </row>
    <row r="428" spans="2:10" s="15" customFormat="1" x14ac:dyDescent="0.25">
      <c r="B428" s="26"/>
      <c r="D428" s="8"/>
      <c r="E428" s="8"/>
      <c r="F428" s="198"/>
      <c r="G428" s="198"/>
      <c r="H428" s="198"/>
      <c r="I428" s="198"/>
      <c r="J428" s="198"/>
    </row>
    <row r="429" spans="2:10" s="15" customFormat="1" x14ac:dyDescent="0.25">
      <c r="B429" s="26"/>
      <c r="D429" s="8"/>
      <c r="E429" s="8"/>
      <c r="F429" s="198"/>
      <c r="G429" s="198"/>
      <c r="H429" s="198"/>
      <c r="I429" s="198"/>
      <c r="J429" s="198"/>
    </row>
    <row r="430" spans="2:10" s="15" customFormat="1" x14ac:dyDescent="0.25">
      <c r="B430" s="26"/>
      <c r="D430" s="8"/>
      <c r="E430" s="8"/>
      <c r="F430" s="198"/>
      <c r="G430" s="198"/>
      <c r="H430" s="198"/>
      <c r="I430" s="198"/>
      <c r="J430" s="198"/>
    </row>
    <row r="431" spans="2:10" s="15" customFormat="1" x14ac:dyDescent="0.25">
      <c r="B431" s="26"/>
      <c r="D431" s="8"/>
      <c r="E431" s="8"/>
      <c r="F431" s="198"/>
      <c r="G431" s="198"/>
      <c r="H431" s="198"/>
      <c r="I431" s="198"/>
      <c r="J431" s="198"/>
    </row>
    <row r="432" spans="2:10" s="15" customFormat="1" x14ac:dyDescent="0.25">
      <c r="B432" s="26"/>
      <c r="D432" s="8"/>
      <c r="E432" s="8"/>
      <c r="F432" s="198"/>
      <c r="G432" s="198"/>
      <c r="H432" s="198"/>
      <c r="I432" s="198"/>
      <c r="J432" s="198"/>
    </row>
    <row r="433" spans="2:10" s="15" customFormat="1" x14ac:dyDescent="0.25">
      <c r="B433" s="26"/>
      <c r="D433" s="8"/>
      <c r="E433" s="8"/>
      <c r="F433" s="198"/>
      <c r="G433" s="198"/>
      <c r="H433" s="198"/>
      <c r="I433" s="198"/>
      <c r="J433" s="198"/>
    </row>
    <row r="434" spans="2:10" s="15" customFormat="1" x14ac:dyDescent="0.25">
      <c r="B434" s="26"/>
      <c r="D434" s="8"/>
      <c r="E434" s="8"/>
      <c r="F434" s="198"/>
      <c r="G434" s="198"/>
      <c r="H434" s="198"/>
      <c r="I434" s="198"/>
      <c r="J434" s="198"/>
    </row>
    <row r="435" spans="2:10" s="15" customFormat="1" x14ac:dyDescent="0.25">
      <c r="B435" s="26"/>
      <c r="D435" s="8"/>
      <c r="E435" s="8"/>
      <c r="F435" s="198"/>
      <c r="G435" s="198"/>
      <c r="H435" s="198"/>
      <c r="I435" s="198"/>
      <c r="J435" s="198"/>
    </row>
    <row r="436" spans="2:10" s="15" customFormat="1" x14ac:dyDescent="0.25">
      <c r="B436" s="26"/>
      <c r="D436" s="8"/>
      <c r="E436" s="8"/>
      <c r="F436" s="198"/>
      <c r="G436" s="198"/>
      <c r="H436" s="198"/>
      <c r="I436" s="198"/>
      <c r="J436" s="198"/>
    </row>
    <row r="437" spans="2:10" s="15" customFormat="1" x14ac:dyDescent="0.25">
      <c r="B437" s="26"/>
      <c r="D437" s="8"/>
      <c r="E437" s="8"/>
      <c r="F437" s="198"/>
      <c r="G437" s="198"/>
      <c r="H437" s="198"/>
      <c r="I437" s="198"/>
      <c r="J437" s="198"/>
    </row>
    <row r="438" spans="2:10" s="15" customFormat="1" x14ac:dyDescent="0.25">
      <c r="B438" s="26"/>
      <c r="D438" s="8"/>
      <c r="E438" s="8"/>
      <c r="F438" s="198"/>
      <c r="G438" s="198"/>
      <c r="H438" s="198"/>
      <c r="I438" s="198"/>
      <c r="J438" s="198"/>
    </row>
    <row r="439" spans="2:10" s="15" customFormat="1" x14ac:dyDescent="0.25">
      <c r="B439" s="26"/>
      <c r="D439" s="8"/>
      <c r="E439" s="8"/>
      <c r="F439" s="198"/>
      <c r="G439" s="198"/>
      <c r="H439" s="198"/>
      <c r="I439" s="198"/>
      <c r="J439" s="198"/>
    </row>
    <row r="440" spans="2:10" s="15" customFormat="1" x14ac:dyDescent="0.25">
      <c r="B440" s="26"/>
      <c r="D440" s="8"/>
      <c r="E440" s="8"/>
      <c r="F440" s="198"/>
      <c r="G440" s="198"/>
      <c r="H440" s="198"/>
      <c r="I440" s="198"/>
      <c r="J440" s="198"/>
    </row>
    <row r="441" spans="2:10" s="15" customFormat="1" x14ac:dyDescent="0.25">
      <c r="B441" s="26"/>
      <c r="D441" s="8"/>
      <c r="E441" s="8"/>
      <c r="F441" s="198"/>
      <c r="G441" s="198"/>
      <c r="H441" s="198"/>
      <c r="I441" s="198"/>
      <c r="J441" s="198"/>
    </row>
    <row r="442" spans="2:10" s="15" customFormat="1" x14ac:dyDescent="0.25">
      <c r="B442" s="26"/>
      <c r="D442" s="8"/>
      <c r="E442" s="8"/>
      <c r="F442" s="198"/>
      <c r="G442" s="198"/>
      <c r="H442" s="198"/>
      <c r="I442" s="198"/>
      <c r="J442" s="198"/>
    </row>
    <row r="443" spans="2:10" s="15" customFormat="1" x14ac:dyDescent="0.25">
      <c r="B443" s="26"/>
      <c r="D443" s="8"/>
      <c r="E443" s="8"/>
      <c r="F443" s="198"/>
      <c r="G443" s="198"/>
      <c r="H443" s="198"/>
      <c r="I443" s="198"/>
      <c r="J443" s="198"/>
    </row>
    <row r="444" spans="2:10" s="15" customFormat="1" x14ac:dyDescent="0.25">
      <c r="B444" s="26"/>
      <c r="D444" s="8"/>
      <c r="E444" s="8"/>
      <c r="F444" s="198"/>
      <c r="G444" s="198"/>
      <c r="H444" s="198"/>
      <c r="I444" s="198"/>
      <c r="J444" s="198"/>
    </row>
    <row r="445" spans="2:10" s="15" customFormat="1" x14ac:dyDescent="0.25">
      <c r="B445" s="26"/>
      <c r="D445" s="8"/>
      <c r="E445" s="8"/>
      <c r="F445" s="198"/>
      <c r="G445" s="198"/>
      <c r="H445" s="198"/>
      <c r="I445" s="198"/>
      <c r="J445" s="198"/>
    </row>
    <row r="446" spans="2:10" s="15" customFormat="1" x14ac:dyDescent="0.25">
      <c r="B446" s="26"/>
      <c r="D446" s="8"/>
      <c r="E446" s="8"/>
      <c r="F446" s="198"/>
      <c r="G446" s="198"/>
      <c r="H446" s="198"/>
      <c r="I446" s="198"/>
      <c r="J446" s="198"/>
    </row>
    <row r="447" spans="2:10" s="15" customFormat="1" x14ac:dyDescent="0.25">
      <c r="B447" s="26"/>
      <c r="D447" s="8"/>
      <c r="E447" s="8"/>
      <c r="F447" s="198"/>
      <c r="G447" s="198"/>
      <c r="H447" s="198"/>
      <c r="I447" s="198"/>
      <c r="J447" s="198"/>
    </row>
    <row r="448" spans="2:10" s="15" customFormat="1" x14ac:dyDescent="0.25">
      <c r="B448" s="26"/>
      <c r="D448" s="8"/>
      <c r="E448" s="8"/>
      <c r="F448" s="198"/>
      <c r="G448" s="198"/>
      <c r="H448" s="198"/>
      <c r="I448" s="198"/>
      <c r="J448" s="198"/>
    </row>
    <row r="449" spans="2:10" s="15" customFormat="1" x14ac:dyDescent="0.25">
      <c r="B449" s="26"/>
      <c r="D449" s="8"/>
      <c r="E449" s="8"/>
      <c r="F449" s="198"/>
      <c r="G449" s="198"/>
      <c r="H449" s="198"/>
      <c r="I449" s="198"/>
      <c r="J449" s="198"/>
    </row>
    <row r="450" spans="2:10" s="15" customFormat="1" x14ac:dyDescent="0.25">
      <c r="B450" s="26"/>
      <c r="D450" s="8"/>
      <c r="E450" s="8"/>
      <c r="F450" s="198"/>
      <c r="G450" s="198"/>
      <c r="H450" s="198"/>
      <c r="I450" s="198"/>
      <c r="J450" s="198"/>
    </row>
    <row r="451" spans="2:10" s="15" customFormat="1" x14ac:dyDescent="0.25">
      <c r="B451" s="26"/>
      <c r="D451" s="8"/>
      <c r="E451" s="8"/>
      <c r="F451" s="198"/>
      <c r="G451" s="198"/>
      <c r="H451" s="198"/>
      <c r="I451" s="198"/>
      <c r="J451" s="198"/>
    </row>
    <row r="452" spans="2:10" s="15" customFormat="1" x14ac:dyDescent="0.25">
      <c r="B452" s="26"/>
      <c r="D452" s="8"/>
      <c r="E452" s="8"/>
      <c r="F452" s="198"/>
      <c r="G452" s="198"/>
      <c r="H452" s="198"/>
      <c r="I452" s="198"/>
      <c r="J452" s="198"/>
    </row>
    <row r="453" spans="2:10" s="15" customFormat="1" x14ac:dyDescent="0.25">
      <c r="B453" s="26"/>
      <c r="D453" s="8"/>
      <c r="E453" s="8"/>
      <c r="F453" s="198"/>
      <c r="G453" s="198"/>
      <c r="H453" s="198"/>
      <c r="I453" s="198"/>
      <c r="J453" s="198"/>
    </row>
    <row r="454" spans="2:10" s="15" customFormat="1" x14ac:dyDescent="0.25">
      <c r="B454" s="26"/>
      <c r="D454" s="8"/>
      <c r="E454" s="8"/>
      <c r="F454" s="198"/>
      <c r="G454" s="198"/>
      <c r="H454" s="198"/>
      <c r="I454" s="198"/>
      <c r="J454" s="198"/>
    </row>
    <row r="455" spans="2:10" s="15" customFormat="1" x14ac:dyDescent="0.25">
      <c r="B455" s="26"/>
      <c r="D455" s="8"/>
      <c r="E455" s="8"/>
      <c r="F455" s="198"/>
      <c r="G455" s="198"/>
      <c r="H455" s="198"/>
      <c r="I455" s="198"/>
      <c r="J455" s="198"/>
    </row>
    <row r="456" spans="2:10" s="15" customFormat="1" x14ac:dyDescent="0.25">
      <c r="B456" s="26"/>
      <c r="D456" s="8"/>
      <c r="E456" s="8"/>
      <c r="F456" s="198"/>
      <c r="G456" s="198"/>
      <c r="H456" s="198"/>
      <c r="I456" s="198"/>
      <c r="J456" s="198"/>
    </row>
    <row r="457" spans="2:10" s="15" customFormat="1" x14ac:dyDescent="0.25">
      <c r="B457" s="26"/>
      <c r="D457" s="8"/>
      <c r="E457" s="8"/>
      <c r="F457" s="198"/>
      <c r="G457" s="198"/>
      <c r="H457" s="198"/>
      <c r="I457" s="198"/>
      <c r="J457" s="198"/>
    </row>
    <row r="458" spans="2:10" s="15" customFormat="1" x14ac:dyDescent="0.25">
      <c r="B458" s="26"/>
      <c r="D458" s="8"/>
      <c r="E458" s="8"/>
      <c r="F458" s="198"/>
      <c r="G458" s="198"/>
      <c r="H458" s="198"/>
      <c r="I458" s="198"/>
      <c r="J458" s="198"/>
    </row>
    <row r="459" spans="2:10" s="15" customFormat="1" x14ac:dyDescent="0.25">
      <c r="B459" s="26"/>
      <c r="D459" s="8"/>
      <c r="E459" s="8"/>
      <c r="F459" s="198"/>
      <c r="G459" s="198"/>
      <c r="H459" s="198"/>
      <c r="I459" s="198"/>
      <c r="J459" s="198"/>
    </row>
    <row r="460" spans="2:10" s="15" customFormat="1" x14ac:dyDescent="0.25">
      <c r="B460" s="26"/>
      <c r="D460" s="8"/>
      <c r="E460" s="8"/>
      <c r="F460" s="198"/>
      <c r="G460" s="198"/>
      <c r="H460" s="198"/>
      <c r="I460" s="198"/>
      <c r="J460" s="198"/>
    </row>
    <row r="461" spans="2:10" s="15" customFormat="1" x14ac:dyDescent="0.25">
      <c r="B461" s="26"/>
      <c r="D461" s="8"/>
      <c r="E461" s="8"/>
      <c r="F461" s="198"/>
      <c r="G461" s="198"/>
      <c r="H461" s="198"/>
      <c r="I461" s="198"/>
      <c r="J461" s="198"/>
    </row>
    <row r="462" spans="2:10" s="15" customFormat="1" x14ac:dyDescent="0.25">
      <c r="B462" s="26"/>
      <c r="D462" s="8"/>
      <c r="E462" s="8"/>
      <c r="F462" s="198"/>
      <c r="G462" s="198"/>
      <c r="H462" s="198"/>
      <c r="I462" s="198"/>
      <c r="J462" s="198"/>
    </row>
    <row r="463" spans="2:10" s="15" customFormat="1" x14ac:dyDescent="0.25">
      <c r="B463" s="26"/>
      <c r="D463" s="8"/>
      <c r="E463" s="8"/>
      <c r="F463" s="198"/>
      <c r="G463" s="198"/>
      <c r="H463" s="198"/>
      <c r="I463" s="198"/>
      <c r="J463" s="198"/>
    </row>
    <row r="464" spans="2:10" s="15" customFormat="1" x14ac:dyDescent="0.25">
      <c r="B464" s="26"/>
      <c r="D464" s="8"/>
      <c r="E464" s="8"/>
      <c r="F464" s="198"/>
      <c r="G464" s="198"/>
      <c r="H464" s="198"/>
      <c r="I464" s="198"/>
      <c r="J464" s="198"/>
    </row>
    <row r="465" spans="2:10" s="15" customFormat="1" x14ac:dyDescent="0.25">
      <c r="B465" s="26"/>
      <c r="D465" s="8"/>
      <c r="E465" s="8"/>
      <c r="F465" s="198"/>
      <c r="G465" s="198"/>
      <c r="H465" s="198"/>
      <c r="I465" s="198"/>
      <c r="J465" s="198"/>
    </row>
    <row r="466" spans="2:10" s="15" customFormat="1" x14ac:dyDescent="0.25">
      <c r="B466" s="26"/>
      <c r="D466" s="8"/>
      <c r="E466" s="8"/>
      <c r="F466" s="198"/>
      <c r="G466" s="198"/>
      <c r="H466" s="198"/>
      <c r="I466" s="198"/>
      <c r="J466" s="198"/>
    </row>
    <row r="467" spans="2:10" s="15" customFormat="1" x14ac:dyDescent="0.25">
      <c r="B467" s="26"/>
      <c r="D467" s="8"/>
      <c r="E467" s="8"/>
      <c r="F467" s="198"/>
      <c r="G467" s="198"/>
      <c r="H467" s="198"/>
      <c r="I467" s="198"/>
      <c r="J467" s="198"/>
    </row>
    <row r="468" spans="2:10" s="15" customFormat="1" x14ac:dyDescent="0.25">
      <c r="B468" s="26"/>
      <c r="D468" s="8"/>
      <c r="E468" s="8"/>
      <c r="F468" s="198"/>
      <c r="G468" s="198"/>
      <c r="H468" s="198"/>
      <c r="I468" s="198"/>
      <c r="J468" s="198"/>
    </row>
    <row r="469" spans="2:10" s="15" customFormat="1" x14ac:dyDescent="0.25">
      <c r="B469" s="26"/>
      <c r="D469" s="8"/>
      <c r="E469" s="8"/>
      <c r="F469" s="198"/>
      <c r="G469" s="198"/>
      <c r="H469" s="198"/>
      <c r="I469" s="198"/>
      <c r="J469" s="198"/>
    </row>
    <row r="470" spans="2:10" s="15" customFormat="1" x14ac:dyDescent="0.25">
      <c r="B470" s="26"/>
      <c r="D470" s="8"/>
      <c r="E470" s="8"/>
      <c r="F470" s="198"/>
      <c r="G470" s="198"/>
      <c r="H470" s="198"/>
      <c r="I470" s="198"/>
      <c r="J470" s="198"/>
    </row>
    <row r="471" spans="2:10" s="15" customFormat="1" x14ac:dyDescent="0.25">
      <c r="B471" s="26"/>
      <c r="D471" s="8"/>
      <c r="E471" s="8"/>
      <c r="F471" s="198"/>
      <c r="G471" s="198"/>
      <c r="H471" s="198"/>
      <c r="I471" s="198"/>
      <c r="J471" s="198"/>
    </row>
    <row r="472" spans="2:10" s="15" customFormat="1" x14ac:dyDescent="0.25">
      <c r="B472" s="26"/>
      <c r="D472" s="8"/>
      <c r="E472" s="8"/>
      <c r="F472" s="198"/>
      <c r="G472" s="198"/>
      <c r="H472" s="198"/>
      <c r="I472" s="198"/>
      <c r="J472" s="198"/>
    </row>
    <row r="473" spans="2:10" s="15" customFormat="1" x14ac:dyDescent="0.25">
      <c r="B473" s="26"/>
      <c r="D473" s="8"/>
      <c r="E473" s="8"/>
      <c r="F473" s="198"/>
      <c r="G473" s="198"/>
      <c r="H473" s="198"/>
      <c r="I473" s="198"/>
      <c r="J473" s="198"/>
    </row>
    <row r="474" spans="2:10" s="15" customFormat="1" x14ac:dyDescent="0.25">
      <c r="B474" s="26"/>
      <c r="D474" s="8"/>
      <c r="E474" s="8"/>
      <c r="F474" s="198"/>
      <c r="G474" s="198"/>
      <c r="H474" s="198"/>
      <c r="I474" s="198"/>
      <c r="J474" s="198"/>
    </row>
    <row r="475" spans="2:10" s="15" customFormat="1" x14ac:dyDescent="0.25">
      <c r="B475" s="26"/>
      <c r="D475" s="8"/>
      <c r="E475" s="8"/>
      <c r="F475" s="198"/>
      <c r="G475" s="198"/>
      <c r="H475" s="198"/>
      <c r="I475" s="198"/>
      <c r="J475" s="198"/>
    </row>
    <row r="476" spans="2:10" s="15" customFormat="1" x14ac:dyDescent="0.25">
      <c r="B476" s="26"/>
      <c r="D476" s="8"/>
      <c r="E476" s="8"/>
      <c r="F476" s="198"/>
      <c r="G476" s="198"/>
      <c r="H476" s="198"/>
      <c r="I476" s="198"/>
      <c r="J476" s="198"/>
    </row>
    <row r="477" spans="2:10" s="15" customFormat="1" x14ac:dyDescent="0.25">
      <c r="B477" s="26"/>
      <c r="D477" s="8"/>
      <c r="E477" s="8"/>
      <c r="F477" s="198"/>
      <c r="G477" s="198"/>
      <c r="H477" s="198"/>
      <c r="I477" s="198"/>
      <c r="J477" s="198"/>
    </row>
    <row r="478" spans="2:10" s="15" customFormat="1" x14ac:dyDescent="0.25">
      <c r="B478" s="26"/>
      <c r="D478" s="8"/>
      <c r="E478" s="8"/>
      <c r="F478" s="198"/>
      <c r="G478" s="198"/>
      <c r="H478" s="198"/>
      <c r="I478" s="198"/>
      <c r="J478" s="198"/>
    </row>
    <row r="479" spans="2:10" s="15" customFormat="1" x14ac:dyDescent="0.25">
      <c r="B479" s="26"/>
      <c r="D479" s="8"/>
      <c r="E479" s="8"/>
      <c r="F479" s="198"/>
      <c r="G479" s="198"/>
      <c r="H479" s="198"/>
      <c r="I479" s="198"/>
      <c r="J479" s="198"/>
    </row>
    <row r="480" spans="2:10" s="15" customFormat="1" x14ac:dyDescent="0.25">
      <c r="B480" s="26"/>
      <c r="D480" s="8"/>
      <c r="E480" s="8"/>
      <c r="F480" s="198"/>
      <c r="G480" s="198"/>
      <c r="H480" s="198"/>
      <c r="I480" s="198"/>
      <c r="J480" s="198"/>
    </row>
    <row r="481" spans="2:10" s="15" customFormat="1" x14ac:dyDescent="0.25">
      <c r="B481" s="26"/>
      <c r="D481" s="8"/>
      <c r="E481" s="8"/>
      <c r="F481" s="198"/>
      <c r="G481" s="198"/>
      <c r="H481" s="198"/>
      <c r="I481" s="198"/>
      <c r="J481" s="198"/>
    </row>
    <row r="482" spans="2:10" s="15" customFormat="1" x14ac:dyDescent="0.25">
      <c r="B482" s="26"/>
      <c r="D482" s="8"/>
      <c r="E482" s="8"/>
      <c r="F482" s="198"/>
      <c r="G482" s="198"/>
      <c r="H482" s="198"/>
      <c r="I482" s="198"/>
      <c r="J482" s="198"/>
    </row>
    <row r="483" spans="2:10" s="15" customFormat="1" x14ac:dyDescent="0.25">
      <c r="B483" s="26"/>
      <c r="D483" s="8"/>
      <c r="E483" s="8"/>
      <c r="F483" s="198"/>
      <c r="G483" s="198"/>
      <c r="H483" s="198"/>
      <c r="I483" s="198"/>
      <c r="J483" s="198"/>
    </row>
    <row r="484" spans="2:10" s="15" customFormat="1" x14ac:dyDescent="0.25">
      <c r="B484" s="26"/>
      <c r="D484" s="8"/>
      <c r="E484" s="8"/>
      <c r="F484" s="198"/>
      <c r="G484" s="198"/>
      <c r="H484" s="198"/>
      <c r="I484" s="198"/>
      <c r="J484" s="198"/>
    </row>
    <row r="485" spans="2:10" s="15" customFormat="1" x14ac:dyDescent="0.25">
      <c r="B485" s="26"/>
      <c r="D485" s="8"/>
      <c r="E485" s="8"/>
      <c r="F485" s="198"/>
      <c r="G485" s="198"/>
      <c r="H485" s="198"/>
      <c r="I485" s="198"/>
      <c r="J485" s="198"/>
    </row>
    <row r="486" spans="2:10" s="15" customFormat="1" x14ac:dyDescent="0.25">
      <c r="B486" s="26"/>
      <c r="D486" s="8"/>
      <c r="E486" s="8"/>
      <c r="F486" s="198"/>
      <c r="G486" s="198"/>
      <c r="H486" s="198"/>
      <c r="I486" s="198"/>
      <c r="J486" s="198"/>
    </row>
    <row r="487" spans="2:10" s="15" customFormat="1" x14ac:dyDescent="0.25">
      <c r="B487" s="26"/>
      <c r="D487" s="8"/>
      <c r="E487" s="8"/>
      <c r="F487" s="198"/>
      <c r="G487" s="198"/>
      <c r="H487" s="198"/>
      <c r="I487" s="198"/>
      <c r="J487" s="198"/>
    </row>
    <row r="488" spans="2:10" s="15" customFormat="1" x14ac:dyDescent="0.25">
      <c r="B488" s="26"/>
      <c r="D488" s="8"/>
      <c r="E488" s="8"/>
      <c r="F488" s="198"/>
      <c r="G488" s="198"/>
      <c r="H488" s="198"/>
      <c r="I488" s="198"/>
      <c r="J488" s="198"/>
    </row>
    <row r="489" spans="2:10" s="15" customFormat="1" x14ac:dyDescent="0.25">
      <c r="B489" s="26"/>
      <c r="D489" s="8"/>
      <c r="E489" s="8"/>
      <c r="F489" s="198"/>
      <c r="G489" s="198"/>
      <c r="H489" s="198"/>
      <c r="I489" s="198"/>
      <c r="J489" s="198"/>
    </row>
    <row r="490" spans="2:10" s="15" customFormat="1" x14ac:dyDescent="0.25">
      <c r="B490" s="26"/>
      <c r="D490" s="8"/>
      <c r="E490" s="8"/>
      <c r="F490" s="198"/>
      <c r="G490" s="198"/>
      <c r="H490" s="198"/>
      <c r="I490" s="198"/>
      <c r="J490" s="198"/>
    </row>
    <row r="491" spans="2:10" s="15" customFormat="1" x14ac:dyDescent="0.25">
      <c r="B491" s="26"/>
      <c r="D491" s="8"/>
      <c r="E491" s="8"/>
      <c r="F491" s="198"/>
      <c r="G491" s="198"/>
      <c r="H491" s="198"/>
      <c r="I491" s="198"/>
      <c r="J491" s="198"/>
    </row>
    <row r="492" spans="2:10" s="15" customFormat="1" x14ac:dyDescent="0.25">
      <c r="B492" s="26"/>
      <c r="D492" s="8"/>
      <c r="E492" s="8"/>
      <c r="F492" s="198"/>
      <c r="G492" s="198"/>
      <c r="H492" s="198"/>
      <c r="I492" s="198"/>
      <c r="J492" s="198"/>
    </row>
    <row r="493" spans="2:10" s="15" customFormat="1" x14ac:dyDescent="0.25">
      <c r="B493" s="26"/>
      <c r="D493" s="8"/>
      <c r="E493" s="8"/>
      <c r="F493" s="198"/>
      <c r="G493" s="198"/>
      <c r="H493" s="198"/>
      <c r="I493" s="198"/>
      <c r="J493" s="198"/>
    </row>
    <row r="494" spans="2:10" s="15" customFormat="1" x14ac:dyDescent="0.25">
      <c r="B494" s="26"/>
      <c r="D494" s="8"/>
      <c r="E494" s="8"/>
      <c r="F494" s="198"/>
      <c r="G494" s="198"/>
      <c r="H494" s="198"/>
      <c r="I494" s="198"/>
      <c r="J494" s="198"/>
    </row>
    <row r="495" spans="2:10" s="15" customFormat="1" x14ac:dyDescent="0.25">
      <c r="B495" s="26"/>
      <c r="D495" s="8"/>
      <c r="E495" s="8"/>
      <c r="F495" s="198"/>
      <c r="G495" s="198"/>
      <c r="H495" s="198"/>
      <c r="I495" s="198"/>
      <c r="J495" s="198"/>
    </row>
    <row r="496" spans="2:10" s="15" customFormat="1" x14ac:dyDescent="0.25">
      <c r="B496" s="26"/>
      <c r="D496" s="8"/>
      <c r="E496" s="8"/>
      <c r="F496" s="198"/>
      <c r="G496" s="198"/>
      <c r="H496" s="198"/>
      <c r="I496" s="198"/>
      <c r="J496" s="198"/>
    </row>
    <row r="497" spans="2:10" s="15" customFormat="1" x14ac:dyDescent="0.25">
      <c r="B497" s="26"/>
      <c r="D497" s="8"/>
      <c r="E497" s="8"/>
      <c r="F497" s="198"/>
      <c r="G497" s="198"/>
      <c r="H497" s="198"/>
      <c r="I497" s="198"/>
      <c r="J497" s="198"/>
    </row>
    <row r="498" spans="2:10" s="15" customFormat="1" x14ac:dyDescent="0.25">
      <c r="B498" s="26"/>
      <c r="D498" s="8"/>
      <c r="E498" s="8"/>
      <c r="F498" s="198"/>
      <c r="G498" s="198"/>
      <c r="H498" s="198"/>
      <c r="I498" s="198"/>
      <c r="J498" s="198"/>
    </row>
    <row r="499" spans="2:10" s="15" customFormat="1" x14ac:dyDescent="0.25">
      <c r="B499" s="26"/>
      <c r="D499" s="8"/>
      <c r="E499" s="8"/>
      <c r="F499" s="198"/>
      <c r="G499" s="198"/>
      <c r="H499" s="198"/>
      <c r="I499" s="198"/>
      <c r="J499" s="198"/>
    </row>
    <row r="500" spans="2:10" s="15" customFormat="1" x14ac:dyDescent="0.25">
      <c r="B500" s="26"/>
      <c r="D500" s="8"/>
      <c r="E500" s="8"/>
      <c r="F500" s="198"/>
      <c r="G500" s="198"/>
      <c r="H500" s="198"/>
      <c r="I500" s="198"/>
      <c r="J500" s="198"/>
    </row>
    <row r="501" spans="2:10" s="15" customFormat="1" x14ac:dyDescent="0.25">
      <c r="B501" s="26"/>
      <c r="D501" s="8"/>
      <c r="E501" s="8"/>
      <c r="F501" s="198"/>
      <c r="G501" s="198"/>
      <c r="H501" s="198"/>
      <c r="I501" s="198"/>
      <c r="J501" s="198"/>
    </row>
    <row r="502" spans="2:10" s="15" customFormat="1" x14ac:dyDescent="0.25">
      <c r="B502" s="26"/>
      <c r="D502" s="8"/>
      <c r="E502" s="8"/>
      <c r="F502" s="198"/>
      <c r="G502" s="198"/>
      <c r="H502" s="198"/>
      <c r="I502" s="198"/>
      <c r="J502" s="198"/>
    </row>
    <row r="503" spans="2:10" s="15" customFormat="1" x14ac:dyDescent="0.25">
      <c r="B503" s="26"/>
      <c r="D503" s="8"/>
      <c r="E503" s="8"/>
      <c r="F503" s="198"/>
      <c r="G503" s="198"/>
      <c r="H503" s="198"/>
      <c r="I503" s="198"/>
      <c r="J503" s="198"/>
    </row>
    <row r="504" spans="2:10" s="15" customFormat="1" x14ac:dyDescent="0.25">
      <c r="B504" s="26"/>
      <c r="D504" s="8"/>
      <c r="E504" s="8"/>
      <c r="F504" s="198"/>
      <c r="G504" s="198"/>
      <c r="H504" s="198"/>
      <c r="I504" s="198"/>
      <c r="J504" s="198"/>
    </row>
    <row r="505" spans="2:10" s="15" customFormat="1" x14ac:dyDescent="0.25">
      <c r="B505" s="26"/>
      <c r="D505" s="8"/>
      <c r="E505" s="8"/>
      <c r="F505" s="198"/>
      <c r="G505" s="198"/>
      <c r="H505" s="198"/>
      <c r="I505" s="198"/>
      <c r="J505" s="198"/>
    </row>
    <row r="506" spans="2:10" s="15" customFormat="1" x14ac:dyDescent="0.25">
      <c r="B506" s="26"/>
      <c r="D506" s="8"/>
      <c r="E506" s="8"/>
      <c r="F506" s="198"/>
      <c r="G506" s="198"/>
      <c r="H506" s="198"/>
      <c r="I506" s="198"/>
      <c r="J506" s="198"/>
    </row>
    <row r="507" spans="2:10" s="15" customFormat="1" x14ac:dyDescent="0.25">
      <c r="B507" s="26"/>
      <c r="D507" s="8"/>
      <c r="E507" s="8"/>
      <c r="F507" s="198"/>
      <c r="G507" s="198"/>
      <c r="H507" s="198"/>
      <c r="I507" s="198"/>
      <c r="J507" s="198"/>
    </row>
    <row r="508" spans="2:10" s="15" customFormat="1" x14ac:dyDescent="0.25">
      <c r="B508" s="26"/>
      <c r="D508" s="8"/>
      <c r="E508" s="8"/>
      <c r="F508" s="198"/>
      <c r="G508" s="198"/>
      <c r="H508" s="198"/>
      <c r="I508" s="198"/>
      <c r="J508" s="198"/>
    </row>
    <row r="509" spans="2:10" s="15" customFormat="1" x14ac:dyDescent="0.25">
      <c r="B509" s="26"/>
      <c r="D509" s="8"/>
      <c r="E509" s="8"/>
      <c r="F509" s="198"/>
      <c r="G509" s="198"/>
      <c r="H509" s="198"/>
      <c r="I509" s="198"/>
      <c r="J509" s="198"/>
    </row>
    <row r="510" spans="2:10" s="15" customFormat="1" x14ac:dyDescent="0.25">
      <c r="B510" s="26"/>
      <c r="D510" s="8"/>
      <c r="E510" s="8"/>
      <c r="F510" s="198"/>
      <c r="G510" s="198"/>
      <c r="H510" s="198"/>
      <c r="I510" s="198"/>
      <c r="J510" s="198"/>
    </row>
    <row r="511" spans="2:10" s="15" customFormat="1" x14ac:dyDescent="0.25">
      <c r="B511" s="26"/>
      <c r="D511" s="8"/>
      <c r="E511" s="8"/>
      <c r="F511" s="198"/>
      <c r="G511" s="198"/>
      <c r="H511" s="198"/>
      <c r="I511" s="198"/>
      <c r="J511" s="198"/>
    </row>
    <row r="512" spans="2:10" s="15" customFormat="1" x14ac:dyDescent="0.25">
      <c r="B512" s="26"/>
      <c r="D512" s="8"/>
      <c r="E512" s="8"/>
      <c r="F512" s="198"/>
      <c r="G512" s="198"/>
      <c r="H512" s="198"/>
      <c r="I512" s="198"/>
      <c r="J512" s="198"/>
    </row>
    <row r="513" spans="2:10" s="15" customFormat="1" x14ac:dyDescent="0.25">
      <c r="B513" s="26"/>
      <c r="D513" s="8"/>
      <c r="E513" s="8"/>
      <c r="F513" s="198"/>
      <c r="G513" s="198"/>
      <c r="H513" s="198"/>
      <c r="I513" s="198"/>
      <c r="J513" s="198"/>
    </row>
    <row r="514" spans="2:10" s="15" customFormat="1" x14ac:dyDescent="0.25">
      <c r="B514" s="26"/>
      <c r="D514" s="8"/>
      <c r="E514" s="8"/>
      <c r="F514" s="198"/>
      <c r="G514" s="198"/>
      <c r="H514" s="198"/>
      <c r="I514" s="198"/>
      <c r="J514" s="198"/>
    </row>
    <row r="515" spans="2:10" s="15" customFormat="1" x14ac:dyDescent="0.25">
      <c r="B515" s="26"/>
      <c r="D515" s="8"/>
      <c r="E515" s="8"/>
      <c r="F515" s="198"/>
      <c r="G515" s="198"/>
      <c r="H515" s="198"/>
      <c r="I515" s="198"/>
      <c r="J515" s="198"/>
    </row>
    <row r="516" spans="2:10" s="15" customFormat="1" x14ac:dyDescent="0.25">
      <c r="B516" s="26"/>
      <c r="D516" s="8"/>
      <c r="E516" s="8"/>
      <c r="F516" s="198"/>
      <c r="G516" s="198"/>
      <c r="H516" s="198"/>
      <c r="I516" s="198"/>
      <c r="J516" s="198"/>
    </row>
    <row r="517" spans="2:10" s="15" customFormat="1" x14ac:dyDescent="0.25">
      <c r="B517" s="26"/>
      <c r="D517" s="8"/>
      <c r="E517" s="8"/>
      <c r="F517" s="198"/>
      <c r="G517" s="198"/>
      <c r="H517" s="198"/>
      <c r="I517" s="198"/>
      <c r="J517" s="198"/>
    </row>
    <row r="518" spans="2:10" s="15" customFormat="1" x14ac:dyDescent="0.25">
      <c r="B518" s="26"/>
      <c r="D518" s="8"/>
      <c r="E518" s="8"/>
      <c r="F518" s="198"/>
      <c r="G518" s="198"/>
      <c r="H518" s="198"/>
      <c r="I518" s="198"/>
      <c r="J518" s="198"/>
    </row>
    <row r="519" spans="2:10" s="15" customFormat="1" x14ac:dyDescent="0.25">
      <c r="B519" s="26"/>
      <c r="D519" s="8"/>
      <c r="E519" s="8"/>
      <c r="F519" s="198"/>
      <c r="G519" s="198"/>
      <c r="H519" s="198"/>
      <c r="I519" s="198"/>
      <c r="J519" s="198"/>
    </row>
    <row r="520" spans="2:10" s="15" customFormat="1" x14ac:dyDescent="0.25">
      <c r="B520" s="26"/>
      <c r="D520" s="8"/>
      <c r="E520" s="8"/>
      <c r="F520" s="198"/>
      <c r="G520" s="198"/>
      <c r="H520" s="198"/>
      <c r="I520" s="198"/>
      <c r="J520" s="198"/>
    </row>
    <row r="521" spans="2:10" s="15" customFormat="1" x14ac:dyDescent="0.25">
      <c r="B521" s="26"/>
      <c r="D521" s="8"/>
      <c r="E521" s="8"/>
      <c r="F521" s="198"/>
      <c r="G521" s="198"/>
      <c r="H521" s="198"/>
      <c r="I521" s="198"/>
      <c r="J521" s="198"/>
    </row>
    <row r="522" spans="2:10" s="15" customFormat="1" x14ac:dyDescent="0.25">
      <c r="B522" s="26"/>
      <c r="D522" s="8"/>
      <c r="E522" s="8"/>
      <c r="F522" s="198"/>
      <c r="G522" s="198"/>
      <c r="H522" s="198"/>
      <c r="I522" s="198"/>
      <c r="J522" s="198"/>
    </row>
    <row r="523" spans="2:10" s="15" customFormat="1" x14ac:dyDescent="0.25">
      <c r="B523" s="26"/>
      <c r="D523" s="8"/>
      <c r="E523" s="8"/>
      <c r="F523" s="198"/>
      <c r="G523" s="198"/>
      <c r="H523" s="198"/>
      <c r="I523" s="198"/>
      <c r="J523" s="198"/>
    </row>
    <row r="524" spans="2:10" s="15" customFormat="1" x14ac:dyDescent="0.25">
      <c r="B524" s="26"/>
      <c r="D524" s="8"/>
      <c r="E524" s="8"/>
      <c r="F524" s="198"/>
      <c r="G524" s="198"/>
      <c r="H524" s="198"/>
      <c r="I524" s="198"/>
      <c r="J524" s="198"/>
    </row>
    <row r="525" spans="2:10" s="15" customFormat="1" x14ac:dyDescent="0.25">
      <c r="B525" s="26"/>
      <c r="D525" s="8"/>
      <c r="E525" s="8"/>
      <c r="F525" s="198"/>
      <c r="G525" s="198"/>
      <c r="H525" s="198"/>
      <c r="I525" s="198"/>
      <c r="J525" s="198"/>
    </row>
    <row r="526" spans="2:10" s="15" customFormat="1" x14ac:dyDescent="0.25">
      <c r="B526" s="26"/>
      <c r="D526" s="8"/>
      <c r="E526" s="8"/>
      <c r="F526" s="198"/>
      <c r="G526" s="198"/>
      <c r="H526" s="198"/>
      <c r="I526" s="198"/>
      <c r="J526" s="198"/>
    </row>
    <row r="527" spans="2:10" s="15" customFormat="1" x14ac:dyDescent="0.25">
      <c r="B527" s="26"/>
      <c r="D527" s="8"/>
      <c r="E527" s="8"/>
      <c r="F527" s="198"/>
      <c r="G527" s="198"/>
      <c r="H527" s="198"/>
      <c r="I527" s="198"/>
      <c r="J527" s="198"/>
    </row>
    <row r="528" spans="2:10" s="15" customFormat="1" x14ac:dyDescent="0.25">
      <c r="B528" s="26"/>
      <c r="D528" s="8"/>
      <c r="E528" s="8"/>
      <c r="F528" s="198"/>
      <c r="G528" s="198"/>
      <c r="H528" s="198"/>
      <c r="I528" s="198"/>
      <c r="J528" s="198"/>
    </row>
    <row r="529" spans="2:10" s="15" customFormat="1" x14ac:dyDescent="0.25">
      <c r="B529" s="26"/>
      <c r="D529" s="8"/>
      <c r="E529" s="8"/>
      <c r="F529" s="198"/>
      <c r="G529" s="198"/>
      <c r="H529" s="198"/>
      <c r="I529" s="198"/>
      <c r="J529" s="198"/>
    </row>
    <row r="530" spans="2:10" s="15" customFormat="1" x14ac:dyDescent="0.25">
      <c r="B530" s="26"/>
      <c r="D530" s="8"/>
      <c r="E530" s="8"/>
      <c r="F530" s="198"/>
      <c r="G530" s="198"/>
      <c r="H530" s="198"/>
      <c r="I530" s="198"/>
      <c r="J530" s="198"/>
    </row>
    <row r="531" spans="2:10" s="15" customFormat="1" x14ac:dyDescent="0.25">
      <c r="B531" s="26"/>
      <c r="D531" s="8"/>
      <c r="E531" s="8"/>
      <c r="F531" s="198"/>
      <c r="G531" s="198"/>
      <c r="H531" s="198"/>
      <c r="I531" s="198"/>
      <c r="J531" s="198"/>
    </row>
    <row r="532" spans="2:10" s="15" customFormat="1" x14ac:dyDescent="0.25">
      <c r="B532" s="26"/>
      <c r="D532" s="8"/>
      <c r="E532" s="8"/>
      <c r="F532" s="198"/>
      <c r="G532" s="198"/>
      <c r="H532" s="198"/>
      <c r="I532" s="198"/>
      <c r="J532" s="198"/>
    </row>
    <row r="533" spans="2:10" s="15" customFormat="1" x14ac:dyDescent="0.25">
      <c r="B533" s="26"/>
      <c r="D533" s="8"/>
      <c r="E533" s="8"/>
      <c r="F533" s="198"/>
      <c r="G533" s="198"/>
      <c r="H533" s="198"/>
      <c r="I533" s="198"/>
      <c r="J533" s="198"/>
    </row>
    <row r="534" spans="2:10" s="15" customFormat="1" x14ac:dyDescent="0.25">
      <c r="B534" s="26"/>
      <c r="D534" s="8"/>
      <c r="E534" s="8"/>
      <c r="F534" s="198"/>
      <c r="G534" s="198"/>
      <c r="H534" s="198"/>
      <c r="I534" s="198"/>
      <c r="J534" s="198"/>
    </row>
    <row r="535" spans="2:10" s="15" customFormat="1" x14ac:dyDescent="0.25">
      <c r="B535" s="26"/>
      <c r="D535" s="8"/>
      <c r="E535" s="8"/>
      <c r="F535" s="198"/>
      <c r="G535" s="198"/>
      <c r="H535" s="198"/>
      <c r="I535" s="198"/>
      <c r="J535" s="198"/>
    </row>
    <row r="536" spans="2:10" s="15" customFormat="1" x14ac:dyDescent="0.25">
      <c r="B536" s="26"/>
      <c r="D536" s="8"/>
      <c r="E536" s="8"/>
      <c r="F536" s="198"/>
      <c r="G536" s="198"/>
      <c r="H536" s="198"/>
      <c r="I536" s="198"/>
      <c r="J536" s="198"/>
    </row>
    <row r="537" spans="2:10" s="15" customFormat="1" x14ac:dyDescent="0.25">
      <c r="B537" s="26"/>
      <c r="D537" s="8"/>
      <c r="E537" s="8"/>
      <c r="F537" s="198"/>
      <c r="G537" s="198"/>
      <c r="H537" s="198"/>
      <c r="I537" s="198"/>
      <c r="J537" s="198"/>
    </row>
    <row r="538" spans="2:10" s="15" customFormat="1" x14ac:dyDescent="0.25">
      <c r="B538" s="26"/>
      <c r="D538" s="8"/>
      <c r="E538" s="8"/>
      <c r="F538" s="198"/>
      <c r="G538" s="198"/>
      <c r="H538" s="198"/>
      <c r="I538" s="198"/>
      <c r="J538" s="198"/>
    </row>
    <row r="539" spans="2:10" s="15" customFormat="1" x14ac:dyDescent="0.25">
      <c r="B539" s="26"/>
      <c r="D539" s="8"/>
      <c r="E539" s="8"/>
      <c r="F539" s="198"/>
      <c r="G539" s="198"/>
      <c r="H539" s="198"/>
      <c r="I539" s="198"/>
      <c r="J539" s="198"/>
    </row>
    <row r="540" spans="2:10" s="15" customFormat="1" x14ac:dyDescent="0.25">
      <c r="B540" s="26"/>
      <c r="D540" s="8"/>
      <c r="E540" s="8"/>
      <c r="F540" s="198"/>
      <c r="G540" s="198"/>
      <c r="H540" s="198"/>
      <c r="I540" s="198"/>
      <c r="J540" s="198"/>
    </row>
    <row r="541" spans="2:10" s="15" customFormat="1" x14ac:dyDescent="0.25">
      <c r="B541" s="26"/>
      <c r="D541" s="8"/>
      <c r="E541" s="8"/>
      <c r="F541" s="198"/>
      <c r="G541" s="198"/>
      <c r="H541" s="198"/>
      <c r="I541" s="198"/>
      <c r="J541" s="198"/>
    </row>
    <row r="542" spans="2:10" s="15" customFormat="1" x14ac:dyDescent="0.25">
      <c r="B542" s="26"/>
      <c r="D542" s="8"/>
      <c r="E542" s="8"/>
      <c r="F542" s="198"/>
      <c r="G542" s="198"/>
      <c r="H542" s="198"/>
      <c r="I542" s="198"/>
      <c r="J542" s="198"/>
    </row>
    <row r="543" spans="2:10" s="15" customFormat="1" x14ac:dyDescent="0.25">
      <c r="B543" s="26"/>
      <c r="D543" s="8"/>
      <c r="E543" s="8"/>
      <c r="F543" s="198"/>
      <c r="G543" s="198"/>
      <c r="H543" s="198"/>
      <c r="I543" s="198"/>
      <c r="J543" s="198"/>
    </row>
    <row r="544" spans="2:10" s="15" customFormat="1" x14ac:dyDescent="0.25">
      <c r="B544" s="26"/>
      <c r="D544" s="8"/>
      <c r="E544" s="8"/>
      <c r="F544" s="198"/>
      <c r="G544" s="198"/>
      <c r="H544" s="198"/>
      <c r="I544" s="198"/>
      <c r="J544" s="198"/>
    </row>
    <row r="545" spans="2:10" s="15" customFormat="1" x14ac:dyDescent="0.25">
      <c r="B545" s="26"/>
      <c r="D545" s="8"/>
      <c r="E545" s="8"/>
      <c r="F545" s="198"/>
      <c r="G545" s="198"/>
      <c r="H545" s="198"/>
      <c r="I545" s="198"/>
      <c r="J545" s="198"/>
    </row>
    <row r="546" spans="2:10" s="15" customFormat="1" x14ac:dyDescent="0.25">
      <c r="B546" s="26"/>
      <c r="D546" s="8"/>
      <c r="E546" s="8"/>
      <c r="F546" s="198"/>
      <c r="G546" s="198"/>
      <c r="H546" s="198"/>
      <c r="I546" s="198"/>
      <c r="J546" s="198"/>
    </row>
    <row r="547" spans="2:10" s="15" customFormat="1" x14ac:dyDescent="0.25">
      <c r="B547" s="26"/>
      <c r="D547" s="8"/>
      <c r="E547" s="8"/>
      <c r="F547" s="198"/>
      <c r="G547" s="198"/>
      <c r="H547" s="198"/>
      <c r="I547" s="198"/>
      <c r="J547" s="198"/>
    </row>
    <row r="548" spans="2:10" s="15" customFormat="1" x14ac:dyDescent="0.25">
      <c r="B548" s="26"/>
      <c r="D548" s="8"/>
      <c r="E548" s="8"/>
      <c r="F548" s="198"/>
      <c r="G548" s="198"/>
      <c r="H548" s="198"/>
      <c r="I548" s="198"/>
      <c r="J548" s="198"/>
    </row>
    <row r="549" spans="2:10" s="15" customFormat="1" x14ac:dyDescent="0.25">
      <c r="B549" s="26"/>
      <c r="D549" s="8"/>
      <c r="E549" s="8"/>
      <c r="F549" s="198"/>
      <c r="G549" s="198"/>
      <c r="H549" s="198"/>
      <c r="I549" s="198"/>
      <c r="J549" s="198"/>
    </row>
    <row r="550" spans="2:10" s="15" customFormat="1" x14ac:dyDescent="0.25">
      <c r="B550" s="26"/>
      <c r="D550" s="8"/>
      <c r="E550" s="8"/>
      <c r="F550" s="198"/>
      <c r="G550" s="198"/>
      <c r="H550" s="198"/>
      <c r="I550" s="198"/>
      <c r="J550" s="198"/>
    </row>
    <row r="551" spans="2:10" s="15" customFormat="1" x14ac:dyDescent="0.25">
      <c r="B551" s="26"/>
      <c r="D551" s="8"/>
      <c r="E551" s="8"/>
      <c r="F551" s="198"/>
      <c r="G551" s="198"/>
      <c r="H551" s="198"/>
      <c r="I551" s="198"/>
      <c r="J551" s="198"/>
    </row>
    <row r="552" spans="2:10" s="15" customFormat="1" x14ac:dyDescent="0.25">
      <c r="B552" s="26"/>
      <c r="D552" s="8"/>
      <c r="E552" s="8"/>
      <c r="F552" s="198"/>
      <c r="G552" s="198"/>
      <c r="H552" s="198"/>
      <c r="I552" s="198"/>
      <c r="J552" s="198"/>
    </row>
    <row r="553" spans="2:10" s="15" customFormat="1" x14ac:dyDescent="0.25">
      <c r="B553" s="26"/>
      <c r="D553" s="8"/>
      <c r="E553" s="8"/>
      <c r="F553" s="198"/>
      <c r="G553" s="198"/>
      <c r="H553" s="198"/>
      <c r="I553" s="198"/>
      <c r="J553" s="198"/>
    </row>
    <row r="554" spans="2:10" s="15" customFormat="1" x14ac:dyDescent="0.25">
      <c r="B554" s="26"/>
      <c r="D554" s="8"/>
      <c r="E554" s="8"/>
      <c r="F554" s="198"/>
      <c r="G554" s="198"/>
      <c r="H554" s="198"/>
      <c r="I554" s="198"/>
      <c r="J554" s="198"/>
    </row>
    <row r="555" spans="2:10" s="15" customFormat="1" x14ac:dyDescent="0.25">
      <c r="B555" s="26"/>
      <c r="D555" s="8"/>
      <c r="E555" s="8"/>
      <c r="F555" s="198"/>
      <c r="G555" s="198"/>
      <c r="H555" s="198"/>
      <c r="I555" s="198"/>
      <c r="J555" s="198"/>
    </row>
    <row r="556" spans="2:10" s="15" customFormat="1" x14ac:dyDescent="0.25">
      <c r="B556" s="26"/>
      <c r="D556" s="8"/>
      <c r="E556" s="8"/>
      <c r="F556" s="198"/>
      <c r="G556" s="198"/>
      <c r="H556" s="198"/>
      <c r="I556" s="198"/>
      <c r="J556" s="198"/>
    </row>
    <row r="557" spans="2:10" s="15" customFormat="1" x14ac:dyDescent="0.25">
      <c r="B557" s="26"/>
      <c r="D557" s="8"/>
      <c r="E557" s="8"/>
      <c r="F557" s="198"/>
      <c r="G557" s="198"/>
      <c r="H557" s="198"/>
      <c r="I557" s="198"/>
      <c r="J557" s="198"/>
    </row>
    <row r="558" spans="2:10" s="15" customFormat="1" x14ac:dyDescent="0.25">
      <c r="B558" s="26"/>
      <c r="D558" s="8"/>
      <c r="E558" s="8"/>
      <c r="F558" s="198"/>
      <c r="G558" s="198"/>
      <c r="H558" s="198"/>
      <c r="I558" s="198"/>
      <c r="J558" s="198"/>
    </row>
    <row r="559" spans="2:10" s="15" customFormat="1" x14ac:dyDescent="0.25">
      <c r="B559" s="26"/>
      <c r="D559" s="8"/>
      <c r="E559" s="8"/>
      <c r="F559" s="198"/>
      <c r="G559" s="198"/>
      <c r="H559" s="198"/>
      <c r="I559" s="198"/>
      <c r="J559" s="198"/>
    </row>
    <row r="560" spans="2:10" s="15" customFormat="1" x14ac:dyDescent="0.25">
      <c r="B560" s="26"/>
      <c r="D560" s="8"/>
      <c r="E560" s="8"/>
      <c r="F560" s="198"/>
      <c r="G560" s="198"/>
      <c r="H560" s="198"/>
      <c r="I560" s="198"/>
      <c r="J560" s="198"/>
    </row>
    <row r="561" spans="2:10" s="15" customFormat="1" x14ac:dyDescent="0.25">
      <c r="B561" s="26"/>
      <c r="D561" s="8"/>
      <c r="E561" s="8"/>
      <c r="F561" s="198"/>
      <c r="G561" s="198"/>
      <c r="H561" s="198"/>
      <c r="I561" s="198"/>
      <c r="J561" s="198"/>
    </row>
    <row r="562" spans="2:10" s="15" customFormat="1" x14ac:dyDescent="0.25">
      <c r="B562" s="26"/>
      <c r="D562" s="8"/>
      <c r="E562" s="8"/>
      <c r="F562" s="198"/>
      <c r="G562" s="198"/>
      <c r="H562" s="198"/>
      <c r="I562" s="198"/>
      <c r="J562" s="198"/>
    </row>
    <row r="563" spans="2:10" s="15" customFormat="1" x14ac:dyDescent="0.25">
      <c r="B563" s="26"/>
      <c r="D563" s="8"/>
      <c r="E563" s="8"/>
      <c r="F563" s="198"/>
      <c r="G563" s="198"/>
      <c r="H563" s="198"/>
      <c r="I563" s="198"/>
      <c r="J563" s="198"/>
    </row>
    <row r="564" spans="2:10" s="15" customFormat="1" x14ac:dyDescent="0.25">
      <c r="B564" s="26"/>
      <c r="D564" s="8"/>
      <c r="E564" s="8"/>
      <c r="F564" s="198"/>
      <c r="G564" s="198"/>
      <c r="H564" s="198"/>
      <c r="I564" s="198"/>
      <c r="J564" s="198"/>
    </row>
    <row r="565" spans="2:10" s="15" customFormat="1" x14ac:dyDescent="0.25">
      <c r="B565" s="26"/>
      <c r="D565" s="8"/>
      <c r="E565" s="8"/>
      <c r="F565" s="198"/>
      <c r="G565" s="198"/>
      <c r="H565" s="198"/>
      <c r="I565" s="198"/>
      <c r="J565" s="198"/>
    </row>
    <row r="566" spans="2:10" s="15" customFormat="1" x14ac:dyDescent="0.25">
      <c r="B566" s="26"/>
      <c r="D566" s="8"/>
      <c r="E566" s="8"/>
      <c r="F566" s="198"/>
      <c r="G566" s="198"/>
      <c r="H566" s="198"/>
      <c r="I566" s="198"/>
      <c r="J566" s="198"/>
    </row>
    <row r="567" spans="2:10" s="15" customFormat="1" x14ac:dyDescent="0.25">
      <c r="B567" s="26"/>
      <c r="D567" s="8"/>
      <c r="E567" s="8"/>
      <c r="F567" s="198"/>
      <c r="G567" s="198"/>
      <c r="H567" s="198"/>
      <c r="I567" s="198"/>
      <c r="J567" s="198"/>
    </row>
    <row r="568" spans="2:10" s="15" customFormat="1" x14ac:dyDescent="0.25">
      <c r="B568" s="26"/>
      <c r="D568" s="8"/>
      <c r="E568" s="8"/>
      <c r="F568" s="198"/>
      <c r="G568" s="198"/>
      <c r="H568" s="198"/>
      <c r="I568" s="198"/>
      <c r="J568" s="198"/>
    </row>
    <row r="569" spans="2:10" s="15" customFormat="1" x14ac:dyDescent="0.25">
      <c r="B569" s="26"/>
      <c r="D569" s="8"/>
      <c r="E569" s="8"/>
      <c r="F569" s="198"/>
      <c r="G569" s="198"/>
      <c r="H569" s="198"/>
      <c r="I569" s="198"/>
      <c r="J569" s="198"/>
    </row>
    <row r="570" spans="2:10" s="15" customFormat="1" x14ac:dyDescent="0.25">
      <c r="B570" s="26"/>
      <c r="D570" s="8"/>
      <c r="E570" s="8"/>
      <c r="F570" s="198"/>
      <c r="G570" s="198"/>
      <c r="H570" s="198"/>
      <c r="I570" s="198"/>
      <c r="J570" s="198"/>
    </row>
    <row r="571" spans="2:10" s="15" customFormat="1" x14ac:dyDescent="0.25">
      <c r="B571" s="26"/>
      <c r="D571" s="8"/>
      <c r="E571" s="8"/>
      <c r="F571" s="198"/>
      <c r="G571" s="198"/>
      <c r="H571" s="198"/>
      <c r="I571" s="198"/>
      <c r="J571" s="198"/>
    </row>
    <row r="572" spans="2:10" s="15" customFormat="1" x14ac:dyDescent="0.25">
      <c r="B572" s="26"/>
      <c r="D572" s="8"/>
      <c r="E572" s="8"/>
      <c r="F572" s="198"/>
      <c r="G572" s="198"/>
      <c r="H572" s="198"/>
      <c r="I572" s="198"/>
      <c r="J572" s="198"/>
    </row>
    <row r="573" spans="2:10" s="15" customFormat="1" x14ac:dyDescent="0.25">
      <c r="B573" s="26"/>
      <c r="D573" s="8"/>
      <c r="E573" s="8"/>
      <c r="F573" s="198"/>
      <c r="G573" s="198"/>
      <c r="H573" s="198"/>
      <c r="I573" s="198"/>
      <c r="J573" s="198"/>
    </row>
    <row r="574" spans="2:10" s="15" customFormat="1" x14ac:dyDescent="0.25">
      <c r="B574" s="26"/>
      <c r="D574" s="8"/>
      <c r="E574" s="8"/>
      <c r="F574" s="198"/>
      <c r="G574" s="198"/>
      <c r="H574" s="198"/>
      <c r="I574" s="198"/>
      <c r="J574" s="198"/>
    </row>
    <row r="575" spans="2:10" s="15" customFormat="1" x14ac:dyDescent="0.25">
      <c r="B575" s="26"/>
      <c r="D575" s="8"/>
      <c r="E575" s="8"/>
      <c r="F575" s="198"/>
      <c r="G575" s="198"/>
      <c r="H575" s="198"/>
      <c r="I575" s="198"/>
      <c r="J575" s="198"/>
    </row>
    <row r="576" spans="2:10" s="15" customFormat="1" x14ac:dyDescent="0.25">
      <c r="B576" s="26"/>
      <c r="D576" s="8"/>
      <c r="E576" s="8"/>
      <c r="F576" s="198"/>
      <c r="G576" s="198"/>
      <c r="H576" s="198"/>
      <c r="I576" s="198"/>
      <c r="J576" s="198"/>
    </row>
    <row r="577" spans="2:10" s="15" customFormat="1" x14ac:dyDescent="0.25">
      <c r="B577" s="26"/>
      <c r="D577" s="8"/>
      <c r="E577" s="8"/>
      <c r="F577" s="198"/>
      <c r="G577" s="198"/>
      <c r="H577" s="198"/>
      <c r="I577" s="198"/>
      <c r="J577" s="198"/>
    </row>
    <row r="578" spans="2:10" s="15" customFormat="1" x14ac:dyDescent="0.25">
      <c r="B578" s="26"/>
      <c r="D578" s="8"/>
      <c r="E578" s="8"/>
      <c r="F578" s="198"/>
      <c r="G578" s="198"/>
      <c r="H578" s="198"/>
      <c r="I578" s="198"/>
      <c r="J578" s="198"/>
    </row>
    <row r="579" spans="2:10" s="15" customFormat="1" x14ac:dyDescent="0.25">
      <c r="B579" s="26"/>
      <c r="D579" s="8"/>
      <c r="E579" s="8"/>
      <c r="F579" s="198"/>
      <c r="G579" s="198"/>
      <c r="H579" s="198"/>
      <c r="I579" s="198"/>
      <c r="J579" s="198"/>
    </row>
    <row r="580" spans="2:10" s="15" customFormat="1" x14ac:dyDescent="0.25">
      <c r="B580" s="26"/>
      <c r="D580" s="8"/>
      <c r="E580" s="8"/>
      <c r="F580" s="198"/>
      <c r="G580" s="198"/>
      <c r="H580" s="198"/>
      <c r="I580" s="198"/>
      <c r="J580" s="198"/>
    </row>
    <row r="581" spans="2:10" s="15" customFormat="1" x14ac:dyDescent="0.25">
      <c r="B581" s="26"/>
      <c r="D581" s="8"/>
      <c r="E581" s="8"/>
      <c r="F581" s="198"/>
      <c r="G581" s="198"/>
      <c r="H581" s="198"/>
      <c r="I581" s="198"/>
      <c r="J581" s="198"/>
    </row>
    <row r="582" spans="2:10" s="15" customFormat="1" x14ac:dyDescent="0.25">
      <c r="B582" s="26"/>
      <c r="D582" s="8"/>
      <c r="E582" s="8"/>
      <c r="F582" s="198"/>
      <c r="G582" s="198"/>
      <c r="H582" s="198"/>
      <c r="I582" s="198"/>
      <c r="J582" s="198"/>
    </row>
    <row r="583" spans="2:10" s="15" customFormat="1" x14ac:dyDescent="0.25">
      <c r="B583" s="26"/>
      <c r="D583" s="8"/>
      <c r="E583" s="8"/>
      <c r="F583" s="198"/>
      <c r="G583" s="198"/>
      <c r="H583" s="198"/>
      <c r="I583" s="198"/>
      <c r="J583" s="198"/>
    </row>
    <row r="584" spans="2:10" s="15" customFormat="1" x14ac:dyDescent="0.25">
      <c r="B584" s="26"/>
      <c r="D584" s="8"/>
      <c r="E584" s="8"/>
      <c r="F584" s="198"/>
      <c r="G584" s="198"/>
      <c r="H584" s="198"/>
      <c r="I584" s="198"/>
      <c r="J584" s="198"/>
    </row>
    <row r="585" spans="2:10" s="15" customFormat="1" x14ac:dyDescent="0.25">
      <c r="B585" s="26"/>
      <c r="D585" s="8"/>
      <c r="E585" s="8"/>
      <c r="F585" s="198"/>
      <c r="G585" s="198"/>
      <c r="H585" s="198"/>
      <c r="I585" s="198"/>
      <c r="J585" s="198"/>
    </row>
    <row r="586" spans="2:10" s="15" customFormat="1" x14ac:dyDescent="0.25">
      <c r="B586" s="26"/>
      <c r="D586" s="8"/>
      <c r="E586" s="8"/>
      <c r="F586" s="198"/>
      <c r="G586" s="198"/>
      <c r="H586" s="198"/>
      <c r="I586" s="198"/>
      <c r="J586" s="198"/>
    </row>
    <row r="587" spans="2:10" s="15" customFormat="1" x14ac:dyDescent="0.25">
      <c r="B587" s="26"/>
      <c r="D587" s="8"/>
      <c r="E587" s="8"/>
      <c r="F587" s="198"/>
      <c r="G587" s="198"/>
      <c r="H587" s="198"/>
      <c r="I587" s="198"/>
      <c r="J587" s="198"/>
    </row>
    <row r="588" spans="2:10" s="15" customFormat="1" x14ac:dyDescent="0.25">
      <c r="B588" s="26"/>
      <c r="D588" s="8"/>
      <c r="E588" s="8"/>
      <c r="F588" s="198"/>
      <c r="G588" s="198"/>
      <c r="H588" s="198"/>
      <c r="I588" s="198"/>
      <c r="J588" s="198"/>
    </row>
    <row r="589" spans="2:10" s="15" customFormat="1" x14ac:dyDescent="0.25">
      <c r="B589" s="26"/>
      <c r="D589" s="8"/>
      <c r="E589" s="8"/>
      <c r="F589" s="198"/>
      <c r="G589" s="198"/>
      <c r="H589" s="198"/>
      <c r="I589" s="198"/>
      <c r="J589" s="198"/>
    </row>
    <row r="590" spans="2:10" s="15" customFormat="1" x14ac:dyDescent="0.25">
      <c r="B590" s="26"/>
      <c r="D590" s="8"/>
      <c r="E590" s="8"/>
      <c r="F590" s="198"/>
      <c r="G590" s="198"/>
      <c r="H590" s="198"/>
      <c r="I590" s="198"/>
      <c r="J590" s="198"/>
    </row>
    <row r="591" spans="2:10" s="15" customFormat="1" x14ac:dyDescent="0.25">
      <c r="B591" s="26"/>
      <c r="D591" s="8"/>
      <c r="E591" s="8"/>
      <c r="F591" s="198"/>
      <c r="G591" s="198"/>
      <c r="H591" s="198"/>
      <c r="I591" s="198"/>
      <c r="J591" s="198"/>
    </row>
    <row r="592" spans="2:10" s="15" customFormat="1" x14ac:dyDescent="0.25">
      <c r="B592" s="26"/>
      <c r="D592" s="8"/>
      <c r="E592" s="8"/>
      <c r="F592" s="198"/>
      <c r="G592" s="198"/>
      <c r="H592" s="198"/>
      <c r="I592" s="198"/>
      <c r="J592" s="198"/>
    </row>
    <row r="593" spans="2:10" s="15" customFormat="1" x14ac:dyDescent="0.25">
      <c r="B593" s="26"/>
      <c r="D593" s="8"/>
      <c r="E593" s="8"/>
      <c r="F593" s="198"/>
      <c r="G593" s="198"/>
      <c r="H593" s="198"/>
      <c r="I593" s="198"/>
      <c r="J593" s="198"/>
    </row>
    <row r="594" spans="2:10" s="15" customFormat="1" x14ac:dyDescent="0.25">
      <c r="B594" s="26"/>
      <c r="D594" s="8"/>
      <c r="E594" s="8"/>
      <c r="F594" s="198"/>
      <c r="G594" s="198"/>
      <c r="H594" s="198"/>
      <c r="I594" s="198"/>
      <c r="J594" s="198"/>
    </row>
    <row r="595" spans="2:10" s="15" customFormat="1" x14ac:dyDescent="0.25">
      <c r="B595" s="26"/>
      <c r="D595" s="8"/>
      <c r="E595" s="8"/>
      <c r="F595" s="198"/>
      <c r="G595" s="198"/>
      <c r="H595" s="198"/>
      <c r="I595" s="198"/>
      <c r="J595" s="198"/>
    </row>
    <row r="596" spans="2:10" s="15" customFormat="1" x14ac:dyDescent="0.25">
      <c r="B596" s="26"/>
      <c r="D596" s="8"/>
      <c r="E596" s="8"/>
      <c r="F596" s="198"/>
      <c r="G596" s="198"/>
      <c r="H596" s="198"/>
      <c r="I596" s="198"/>
      <c r="J596" s="198"/>
    </row>
    <row r="597" spans="2:10" s="15" customFormat="1" x14ac:dyDescent="0.25">
      <c r="B597" s="26"/>
      <c r="D597" s="8"/>
      <c r="E597" s="8"/>
      <c r="F597" s="198"/>
      <c r="G597" s="198"/>
      <c r="H597" s="198"/>
      <c r="I597" s="198"/>
      <c r="J597" s="198"/>
    </row>
    <row r="598" spans="2:10" s="15" customFormat="1" x14ac:dyDescent="0.25">
      <c r="B598" s="26"/>
      <c r="D598" s="8"/>
      <c r="E598" s="8"/>
      <c r="F598" s="198"/>
      <c r="G598" s="198"/>
      <c r="H598" s="198"/>
      <c r="I598" s="198"/>
      <c r="J598" s="198"/>
    </row>
    <row r="599" spans="2:10" s="15" customFormat="1" x14ac:dyDescent="0.25">
      <c r="B599" s="26"/>
      <c r="D599" s="8"/>
      <c r="E599" s="8"/>
      <c r="F599" s="198"/>
      <c r="G599" s="198"/>
      <c r="H599" s="198"/>
      <c r="I599" s="198"/>
      <c r="J599" s="198"/>
    </row>
    <row r="600" spans="2:10" s="15" customFormat="1" x14ac:dyDescent="0.25">
      <c r="B600" s="26"/>
      <c r="D600" s="8"/>
      <c r="E600" s="8"/>
      <c r="F600" s="198"/>
      <c r="G600" s="198"/>
      <c r="H600" s="198"/>
      <c r="I600" s="198"/>
      <c r="J600" s="198"/>
    </row>
    <row r="601" spans="2:10" s="15" customFormat="1" x14ac:dyDescent="0.25">
      <c r="B601" s="26"/>
      <c r="D601" s="8"/>
      <c r="E601" s="8"/>
      <c r="F601" s="198"/>
      <c r="G601" s="198"/>
      <c r="H601" s="198"/>
      <c r="I601" s="198"/>
      <c r="J601" s="198"/>
    </row>
    <row r="602" spans="2:10" s="15" customFormat="1" x14ac:dyDescent="0.25">
      <c r="B602" s="26"/>
      <c r="D602" s="8"/>
      <c r="E602" s="8"/>
      <c r="F602" s="198"/>
      <c r="G602" s="198"/>
      <c r="H602" s="198"/>
      <c r="I602" s="198"/>
      <c r="J602" s="198"/>
    </row>
    <row r="603" spans="2:10" s="15" customFormat="1" x14ac:dyDescent="0.25">
      <c r="B603" s="26"/>
      <c r="D603" s="8"/>
      <c r="E603" s="8"/>
      <c r="F603" s="198"/>
      <c r="G603" s="198"/>
      <c r="H603" s="198"/>
      <c r="I603" s="198"/>
      <c r="J603" s="198"/>
    </row>
    <row r="604" spans="2:10" s="15" customFormat="1" x14ac:dyDescent="0.25">
      <c r="B604" s="26"/>
      <c r="D604" s="8"/>
      <c r="E604" s="8"/>
      <c r="F604" s="198"/>
      <c r="G604" s="198"/>
      <c r="H604" s="198"/>
      <c r="I604" s="198"/>
      <c r="J604" s="198"/>
    </row>
    <row r="605" spans="2:10" s="15" customFormat="1" x14ac:dyDescent="0.25">
      <c r="B605" s="26"/>
      <c r="D605" s="8"/>
      <c r="E605" s="8"/>
      <c r="F605" s="198"/>
      <c r="G605" s="198"/>
      <c r="H605" s="198"/>
      <c r="I605" s="198"/>
      <c r="J605" s="198"/>
    </row>
    <row r="606" spans="2:10" s="15" customFormat="1" x14ac:dyDescent="0.25">
      <c r="B606" s="26"/>
      <c r="D606" s="8"/>
      <c r="E606" s="8"/>
      <c r="F606" s="198"/>
      <c r="G606" s="198"/>
      <c r="H606" s="198"/>
      <c r="I606" s="198"/>
      <c r="J606" s="198"/>
    </row>
    <row r="607" spans="2:10" s="15" customFormat="1" x14ac:dyDescent="0.25">
      <c r="B607" s="26"/>
      <c r="D607" s="8"/>
      <c r="E607" s="8"/>
      <c r="F607" s="198"/>
      <c r="G607" s="198"/>
      <c r="H607" s="198"/>
      <c r="I607" s="198"/>
      <c r="J607" s="198"/>
    </row>
    <row r="608" spans="2:10" s="15" customFormat="1" x14ac:dyDescent="0.25">
      <c r="B608" s="26"/>
      <c r="D608" s="8"/>
      <c r="E608" s="8"/>
      <c r="F608" s="198"/>
      <c r="G608" s="198"/>
      <c r="H608" s="198"/>
      <c r="I608" s="198"/>
      <c r="J608" s="198"/>
    </row>
    <row r="609" spans="2:10" s="15" customFormat="1" x14ac:dyDescent="0.25">
      <c r="B609" s="26"/>
      <c r="D609" s="8"/>
      <c r="E609" s="8"/>
      <c r="F609" s="198"/>
      <c r="G609" s="198"/>
      <c r="H609" s="198"/>
      <c r="I609" s="198"/>
      <c r="J609" s="198"/>
    </row>
    <row r="610" spans="2:10" s="15" customFormat="1" x14ac:dyDescent="0.25">
      <c r="B610" s="26"/>
      <c r="D610" s="8"/>
      <c r="E610" s="8"/>
      <c r="F610" s="198"/>
      <c r="G610" s="198"/>
      <c r="H610" s="198"/>
      <c r="I610" s="198"/>
      <c r="J610" s="198"/>
    </row>
    <row r="611" spans="2:10" s="15" customFormat="1" x14ac:dyDescent="0.25">
      <c r="B611" s="26"/>
      <c r="D611" s="8"/>
      <c r="E611" s="8"/>
      <c r="F611" s="198"/>
      <c r="G611" s="198"/>
      <c r="H611" s="198"/>
      <c r="I611" s="198"/>
      <c r="J611" s="198"/>
    </row>
    <row r="612" spans="2:10" s="15" customFormat="1" x14ac:dyDescent="0.25">
      <c r="B612" s="26"/>
      <c r="D612" s="8"/>
      <c r="E612" s="8"/>
      <c r="F612" s="198"/>
      <c r="G612" s="198"/>
      <c r="H612" s="198"/>
      <c r="I612" s="198"/>
      <c r="J612" s="198"/>
    </row>
    <row r="613" spans="2:10" s="15" customFormat="1" x14ac:dyDescent="0.25">
      <c r="B613" s="26"/>
      <c r="D613" s="8"/>
      <c r="E613" s="8"/>
      <c r="F613" s="198"/>
      <c r="G613" s="198"/>
      <c r="H613" s="198"/>
      <c r="I613" s="198"/>
      <c r="J613" s="198"/>
    </row>
    <row r="614" spans="2:10" s="15" customFormat="1" x14ac:dyDescent="0.25">
      <c r="B614" s="26"/>
      <c r="D614" s="8"/>
      <c r="E614" s="8"/>
      <c r="F614" s="198"/>
      <c r="G614" s="198"/>
      <c r="H614" s="198"/>
      <c r="I614" s="198"/>
      <c r="J614" s="198"/>
    </row>
    <row r="615" spans="2:10" s="15" customFormat="1" x14ac:dyDescent="0.25">
      <c r="B615" s="26"/>
      <c r="D615" s="8"/>
      <c r="E615" s="8"/>
      <c r="F615" s="198"/>
      <c r="G615" s="198"/>
      <c r="H615" s="198"/>
      <c r="I615" s="198"/>
      <c r="J615" s="198"/>
    </row>
    <row r="616" spans="2:10" s="15" customFormat="1" x14ac:dyDescent="0.25">
      <c r="B616" s="26"/>
      <c r="D616" s="8"/>
      <c r="E616" s="8"/>
      <c r="F616" s="198"/>
      <c r="G616" s="198"/>
      <c r="H616" s="198"/>
      <c r="I616" s="198"/>
      <c r="J616" s="198"/>
    </row>
    <row r="617" spans="2:10" s="15" customFormat="1" x14ac:dyDescent="0.25">
      <c r="B617" s="26"/>
      <c r="D617" s="8"/>
      <c r="E617" s="8"/>
      <c r="F617" s="198"/>
      <c r="G617" s="198"/>
      <c r="H617" s="198"/>
      <c r="I617" s="198"/>
      <c r="J617" s="198"/>
    </row>
    <row r="618" spans="2:10" s="15" customFormat="1" x14ac:dyDescent="0.25">
      <c r="B618" s="26"/>
      <c r="D618" s="8"/>
      <c r="E618" s="8"/>
      <c r="F618" s="198"/>
      <c r="G618" s="198"/>
      <c r="H618" s="198"/>
      <c r="I618" s="198"/>
      <c r="J618" s="198"/>
    </row>
    <row r="619" spans="2:10" s="15" customFormat="1" x14ac:dyDescent="0.25">
      <c r="B619" s="26"/>
      <c r="D619" s="8"/>
      <c r="E619" s="8"/>
      <c r="F619" s="198"/>
      <c r="G619" s="198"/>
      <c r="H619" s="198"/>
      <c r="I619" s="198"/>
      <c r="J619" s="198"/>
    </row>
    <row r="620" spans="2:10" s="15" customFormat="1" x14ac:dyDescent="0.25">
      <c r="B620" s="26"/>
      <c r="D620" s="8"/>
      <c r="E620" s="8"/>
      <c r="F620" s="198"/>
      <c r="G620" s="198"/>
      <c r="H620" s="198"/>
      <c r="I620" s="198"/>
      <c r="J620" s="198"/>
    </row>
    <row r="621" spans="2:10" s="15" customFormat="1" x14ac:dyDescent="0.25">
      <c r="B621" s="26"/>
      <c r="D621" s="8"/>
      <c r="E621" s="8"/>
      <c r="F621" s="198"/>
      <c r="G621" s="198"/>
      <c r="H621" s="198"/>
      <c r="I621" s="198"/>
      <c r="J621" s="198"/>
    </row>
    <row r="622" spans="2:10" s="15" customFormat="1" x14ac:dyDescent="0.25">
      <c r="B622" s="26"/>
      <c r="D622" s="8"/>
      <c r="E622" s="8"/>
      <c r="F622" s="198"/>
      <c r="G622" s="198"/>
      <c r="H622" s="198"/>
      <c r="I622" s="198"/>
      <c r="J622" s="198"/>
    </row>
    <row r="623" spans="2:10" s="15" customFormat="1" x14ac:dyDescent="0.25">
      <c r="B623" s="26"/>
      <c r="D623" s="8"/>
      <c r="E623" s="8"/>
      <c r="F623" s="198"/>
      <c r="G623" s="198"/>
      <c r="H623" s="198"/>
      <c r="I623" s="198"/>
      <c r="J623" s="198"/>
    </row>
    <row r="624" spans="2:10" s="15" customFormat="1" x14ac:dyDescent="0.25">
      <c r="B624" s="26"/>
      <c r="D624" s="8"/>
      <c r="E624" s="8"/>
      <c r="F624" s="198"/>
      <c r="G624" s="198"/>
      <c r="H624" s="198"/>
      <c r="I624" s="198"/>
      <c r="J624" s="198"/>
    </row>
    <row r="625" spans="2:10" s="15" customFormat="1" x14ac:dyDescent="0.25">
      <c r="B625" s="26"/>
      <c r="D625" s="8"/>
      <c r="E625" s="8"/>
      <c r="F625" s="198"/>
      <c r="G625" s="198"/>
      <c r="H625" s="198"/>
      <c r="I625" s="198"/>
      <c r="J625" s="198"/>
    </row>
    <row r="626" spans="2:10" s="15" customFormat="1" x14ac:dyDescent="0.25">
      <c r="B626" s="26"/>
      <c r="D626" s="8"/>
      <c r="E626" s="8"/>
      <c r="F626" s="198"/>
      <c r="G626" s="198"/>
      <c r="H626" s="198"/>
      <c r="I626" s="198"/>
      <c r="J626" s="198"/>
    </row>
    <row r="627" spans="2:10" s="15" customFormat="1" x14ac:dyDescent="0.25">
      <c r="B627" s="26"/>
      <c r="D627" s="8"/>
      <c r="E627" s="8"/>
      <c r="F627" s="198"/>
      <c r="G627" s="198"/>
      <c r="H627" s="198"/>
      <c r="I627" s="198"/>
      <c r="J627" s="198"/>
    </row>
    <row r="628" spans="2:10" s="15" customFormat="1" x14ac:dyDescent="0.25">
      <c r="B628" s="26"/>
      <c r="D628" s="8"/>
      <c r="E628" s="8"/>
      <c r="F628" s="198"/>
      <c r="G628" s="198"/>
      <c r="H628" s="198"/>
      <c r="I628" s="198"/>
      <c r="J628" s="198"/>
    </row>
    <row r="629" spans="2:10" s="15" customFormat="1" x14ac:dyDescent="0.25">
      <c r="B629" s="26"/>
      <c r="D629" s="8"/>
      <c r="E629" s="8"/>
      <c r="F629" s="198"/>
      <c r="G629" s="198"/>
      <c r="H629" s="198"/>
      <c r="I629" s="198"/>
      <c r="J629" s="198"/>
    </row>
    <row r="630" spans="2:10" s="15" customFormat="1" x14ac:dyDescent="0.25">
      <c r="B630" s="26"/>
      <c r="D630" s="8"/>
      <c r="E630" s="8"/>
      <c r="F630" s="198"/>
      <c r="G630" s="198"/>
      <c r="H630" s="198"/>
      <c r="I630" s="198"/>
      <c r="J630" s="198"/>
    </row>
    <row r="631" spans="2:10" s="15" customFormat="1" x14ac:dyDescent="0.25">
      <c r="B631" s="26"/>
      <c r="D631" s="8"/>
      <c r="E631" s="8"/>
      <c r="F631" s="198"/>
      <c r="G631" s="198"/>
      <c r="H631" s="198"/>
      <c r="I631" s="198"/>
      <c r="J631" s="198"/>
    </row>
    <row r="632" spans="2:10" s="15" customFormat="1" x14ac:dyDescent="0.25">
      <c r="B632" s="26"/>
      <c r="D632" s="8"/>
      <c r="E632" s="8"/>
      <c r="F632" s="198"/>
      <c r="G632" s="198"/>
      <c r="H632" s="198"/>
      <c r="I632" s="198"/>
      <c r="J632" s="198"/>
    </row>
    <row r="633" spans="2:10" s="15" customFormat="1" x14ac:dyDescent="0.25">
      <c r="B633" s="26"/>
      <c r="D633" s="8"/>
      <c r="E633" s="8"/>
      <c r="F633" s="198"/>
      <c r="G633" s="198"/>
      <c r="H633" s="198"/>
      <c r="I633" s="198"/>
      <c r="J633" s="198"/>
    </row>
    <row r="634" spans="2:10" s="15" customFormat="1" x14ac:dyDescent="0.25">
      <c r="B634" s="26"/>
      <c r="D634" s="8"/>
      <c r="E634" s="8"/>
      <c r="F634" s="198"/>
      <c r="G634" s="198"/>
      <c r="H634" s="198"/>
      <c r="I634" s="198"/>
      <c r="J634" s="198"/>
    </row>
    <row r="635" spans="2:10" s="15" customFormat="1" x14ac:dyDescent="0.25">
      <c r="B635" s="26"/>
      <c r="D635" s="8"/>
      <c r="E635" s="8"/>
      <c r="F635" s="198"/>
      <c r="G635" s="198"/>
      <c r="H635" s="198"/>
      <c r="I635" s="198"/>
      <c r="J635" s="198"/>
    </row>
    <row r="636" spans="2:10" s="15" customFormat="1" x14ac:dyDescent="0.25">
      <c r="B636" s="26"/>
      <c r="D636" s="8"/>
      <c r="E636" s="8"/>
      <c r="F636" s="198"/>
      <c r="G636" s="198"/>
      <c r="H636" s="198"/>
      <c r="I636" s="198"/>
      <c r="J636" s="198"/>
    </row>
    <row r="637" spans="2:10" s="15" customFormat="1" x14ac:dyDescent="0.25">
      <c r="B637" s="26"/>
      <c r="D637" s="8"/>
      <c r="E637" s="8"/>
      <c r="F637" s="198"/>
      <c r="G637" s="198"/>
      <c r="H637" s="198"/>
      <c r="I637" s="198"/>
      <c r="J637" s="198"/>
    </row>
    <row r="638" spans="2:10" s="15" customFormat="1" x14ac:dyDescent="0.25">
      <c r="B638" s="26"/>
      <c r="D638" s="8"/>
      <c r="E638" s="8"/>
      <c r="F638" s="198"/>
      <c r="G638" s="198"/>
      <c r="H638" s="198"/>
      <c r="I638" s="198"/>
      <c r="J638" s="198"/>
    </row>
    <row r="639" spans="2:10" s="15" customFormat="1" x14ac:dyDescent="0.25">
      <c r="B639" s="26"/>
      <c r="D639" s="8"/>
      <c r="E639" s="8"/>
      <c r="F639" s="198"/>
      <c r="G639" s="198"/>
      <c r="H639" s="198"/>
      <c r="I639" s="198"/>
      <c r="J639" s="198"/>
    </row>
    <row r="640" spans="2:10" s="15" customFormat="1" x14ac:dyDescent="0.25">
      <c r="B640" s="26"/>
      <c r="D640" s="8"/>
      <c r="E640" s="8"/>
      <c r="F640" s="198"/>
      <c r="G640" s="198"/>
      <c r="H640" s="198"/>
      <c r="I640" s="198"/>
      <c r="J640" s="198"/>
    </row>
    <row r="641" spans="2:10" s="15" customFormat="1" x14ac:dyDescent="0.25">
      <c r="B641" s="26"/>
      <c r="D641" s="8"/>
      <c r="E641" s="8"/>
      <c r="F641" s="198"/>
      <c r="G641" s="198"/>
      <c r="H641" s="198"/>
      <c r="I641" s="198"/>
      <c r="J641" s="198"/>
    </row>
    <row r="642" spans="2:10" s="15" customFormat="1" x14ac:dyDescent="0.25">
      <c r="B642" s="26"/>
      <c r="D642" s="8"/>
      <c r="E642" s="8"/>
      <c r="F642" s="198"/>
      <c r="G642" s="198"/>
      <c r="H642" s="198"/>
      <c r="I642" s="198"/>
      <c r="J642" s="198"/>
    </row>
    <row r="643" spans="2:10" s="15" customFormat="1" x14ac:dyDescent="0.25">
      <c r="B643" s="26"/>
      <c r="D643" s="8"/>
      <c r="E643" s="8"/>
      <c r="F643" s="198"/>
      <c r="G643" s="198"/>
      <c r="H643" s="198"/>
      <c r="I643" s="198"/>
      <c r="J643" s="198"/>
    </row>
    <row r="644" spans="2:10" s="15" customFormat="1" x14ac:dyDescent="0.25">
      <c r="B644" s="26"/>
      <c r="D644" s="8"/>
      <c r="E644" s="8"/>
      <c r="F644" s="198"/>
      <c r="G644" s="198"/>
      <c r="H644" s="198"/>
      <c r="I644" s="198"/>
      <c r="J644" s="198"/>
    </row>
    <row r="645" spans="2:10" s="15" customFormat="1" x14ac:dyDescent="0.25">
      <c r="B645" s="26"/>
      <c r="D645" s="8"/>
      <c r="E645" s="8"/>
      <c r="F645" s="198"/>
      <c r="G645" s="198"/>
      <c r="H645" s="198"/>
      <c r="I645" s="198"/>
      <c r="J645" s="198"/>
    </row>
    <row r="646" spans="2:10" s="15" customFormat="1" x14ac:dyDescent="0.25">
      <c r="B646" s="26"/>
      <c r="D646" s="8"/>
      <c r="E646" s="8"/>
      <c r="F646" s="198"/>
      <c r="G646" s="198"/>
      <c r="H646" s="198"/>
      <c r="I646" s="198"/>
      <c r="J646" s="198"/>
    </row>
    <row r="647" spans="2:10" s="15" customFormat="1" x14ac:dyDescent="0.25">
      <c r="B647" s="26"/>
      <c r="D647" s="8"/>
      <c r="E647" s="8"/>
      <c r="F647" s="198"/>
      <c r="G647" s="198"/>
      <c r="H647" s="198"/>
      <c r="I647" s="198"/>
      <c r="J647" s="198"/>
    </row>
    <row r="648" spans="2:10" s="15" customFormat="1" x14ac:dyDescent="0.25">
      <c r="B648" s="26"/>
      <c r="D648" s="8"/>
      <c r="E648" s="8"/>
      <c r="F648" s="198"/>
      <c r="G648" s="198"/>
      <c r="H648" s="198"/>
      <c r="I648" s="198"/>
      <c r="J648" s="198"/>
    </row>
    <row r="649" spans="2:10" s="15" customFormat="1" x14ac:dyDescent="0.25">
      <c r="B649" s="26"/>
      <c r="D649" s="8"/>
      <c r="E649" s="8"/>
      <c r="F649" s="198"/>
      <c r="G649" s="198"/>
      <c r="H649" s="198"/>
      <c r="I649" s="198"/>
      <c r="J649" s="198"/>
    </row>
    <row r="650" spans="2:10" s="15" customFormat="1" x14ac:dyDescent="0.25">
      <c r="B650" s="26"/>
      <c r="D650" s="8"/>
      <c r="E650" s="8"/>
      <c r="F650" s="198"/>
      <c r="G650" s="198"/>
      <c r="H650" s="198"/>
      <c r="I650" s="198"/>
      <c r="J650" s="198"/>
    </row>
    <row r="651" spans="2:10" s="15" customFormat="1" x14ac:dyDescent="0.25">
      <c r="B651" s="26"/>
      <c r="D651" s="8"/>
      <c r="E651" s="8"/>
      <c r="F651" s="198"/>
      <c r="G651" s="198"/>
      <c r="H651" s="198"/>
      <c r="I651" s="198"/>
      <c r="J651" s="198"/>
    </row>
    <row r="652" spans="2:10" s="15" customFormat="1" x14ac:dyDescent="0.25">
      <c r="B652" s="26"/>
      <c r="D652" s="8"/>
      <c r="E652" s="8"/>
      <c r="F652" s="198"/>
      <c r="G652" s="198"/>
      <c r="H652" s="198"/>
      <c r="I652" s="198"/>
      <c r="J652" s="198"/>
    </row>
    <row r="653" spans="2:10" s="15" customFormat="1" x14ac:dyDescent="0.25">
      <c r="B653" s="26"/>
      <c r="D653" s="8"/>
      <c r="E653" s="8"/>
      <c r="F653" s="198"/>
      <c r="G653" s="198"/>
      <c r="H653" s="198"/>
      <c r="I653" s="198"/>
      <c r="J653" s="198"/>
    </row>
    <row r="654" spans="2:10" s="15" customFormat="1" x14ac:dyDescent="0.25">
      <c r="B654" s="26"/>
      <c r="D654" s="8"/>
      <c r="E654" s="8"/>
      <c r="F654" s="198"/>
      <c r="G654" s="198"/>
      <c r="H654" s="198"/>
      <c r="I654" s="198"/>
      <c r="J654" s="198"/>
    </row>
    <row r="655" spans="2:10" s="15" customFormat="1" x14ac:dyDescent="0.25">
      <c r="B655" s="26"/>
      <c r="D655" s="8"/>
      <c r="E655" s="8"/>
      <c r="F655" s="198"/>
      <c r="G655" s="198"/>
      <c r="H655" s="198"/>
      <c r="I655" s="198"/>
      <c r="J655" s="198"/>
    </row>
    <row r="656" spans="2:10" s="15" customFormat="1" x14ac:dyDescent="0.25">
      <c r="B656" s="26"/>
      <c r="D656" s="8"/>
      <c r="E656" s="8"/>
      <c r="F656" s="198"/>
      <c r="G656" s="198"/>
      <c r="H656" s="198"/>
      <c r="I656" s="198"/>
      <c r="J656" s="198"/>
    </row>
    <row r="657" spans="2:10" s="15" customFormat="1" x14ac:dyDescent="0.25">
      <c r="B657" s="26"/>
      <c r="D657" s="8"/>
      <c r="E657" s="8"/>
      <c r="F657" s="198"/>
      <c r="G657" s="198"/>
      <c r="H657" s="198"/>
      <c r="I657" s="198"/>
      <c r="J657" s="198"/>
    </row>
    <row r="658" spans="2:10" s="15" customFormat="1" x14ac:dyDescent="0.25">
      <c r="B658" s="26"/>
      <c r="D658" s="8"/>
      <c r="E658" s="8"/>
      <c r="F658" s="198"/>
      <c r="G658" s="198"/>
      <c r="H658" s="198"/>
      <c r="I658" s="198"/>
      <c r="J658" s="198"/>
    </row>
    <row r="659" spans="2:10" s="15" customFormat="1" x14ac:dyDescent="0.25">
      <c r="B659" s="26"/>
      <c r="D659" s="8"/>
      <c r="E659" s="8"/>
      <c r="F659" s="198"/>
      <c r="G659" s="198"/>
      <c r="H659" s="198"/>
      <c r="I659" s="198"/>
      <c r="J659" s="198"/>
    </row>
    <row r="660" spans="2:10" s="15" customFormat="1" x14ac:dyDescent="0.25">
      <c r="B660" s="26"/>
      <c r="D660" s="8"/>
      <c r="E660" s="8"/>
      <c r="F660" s="198"/>
      <c r="G660" s="198"/>
      <c r="H660" s="198"/>
      <c r="I660" s="198"/>
      <c r="J660" s="198"/>
    </row>
    <row r="661" spans="2:10" s="15" customFormat="1" x14ac:dyDescent="0.25">
      <c r="B661" s="26"/>
      <c r="D661" s="8"/>
      <c r="E661" s="8"/>
      <c r="F661" s="198"/>
      <c r="G661" s="198"/>
      <c r="H661" s="198"/>
      <c r="I661" s="198"/>
      <c r="J661" s="198"/>
    </row>
    <row r="662" spans="2:10" s="15" customFormat="1" x14ac:dyDescent="0.25">
      <c r="B662" s="26"/>
      <c r="D662" s="8"/>
      <c r="E662" s="8"/>
      <c r="F662" s="198"/>
      <c r="G662" s="198"/>
      <c r="H662" s="198"/>
      <c r="I662" s="198"/>
      <c r="J662" s="198"/>
    </row>
    <row r="663" spans="2:10" s="15" customFormat="1" x14ac:dyDescent="0.25">
      <c r="B663" s="26"/>
      <c r="D663" s="8"/>
      <c r="E663" s="8"/>
      <c r="F663" s="198"/>
      <c r="G663" s="198"/>
      <c r="H663" s="198"/>
      <c r="I663" s="198"/>
      <c r="J663" s="198"/>
    </row>
    <row r="664" spans="2:10" s="15" customFormat="1" x14ac:dyDescent="0.25">
      <c r="B664" s="26"/>
      <c r="D664" s="8"/>
      <c r="E664" s="8"/>
      <c r="F664" s="198"/>
      <c r="G664" s="198"/>
      <c r="H664" s="198"/>
      <c r="I664" s="198"/>
      <c r="J664" s="198"/>
    </row>
    <row r="665" spans="2:10" s="15" customFormat="1" x14ac:dyDescent="0.25">
      <c r="B665" s="26"/>
      <c r="D665" s="8"/>
      <c r="E665" s="8"/>
      <c r="F665" s="198"/>
      <c r="G665" s="198"/>
      <c r="H665" s="198"/>
      <c r="I665" s="198"/>
      <c r="J665" s="198"/>
    </row>
    <row r="666" spans="2:10" s="15" customFormat="1" x14ac:dyDescent="0.25">
      <c r="B666" s="26"/>
      <c r="D666" s="8"/>
      <c r="E666" s="8"/>
      <c r="F666" s="198"/>
      <c r="G666" s="198"/>
      <c r="H666" s="198"/>
      <c r="I666" s="198"/>
      <c r="J666" s="198"/>
    </row>
    <row r="667" spans="2:10" s="15" customFormat="1" x14ac:dyDescent="0.25">
      <c r="B667" s="26"/>
      <c r="D667" s="8"/>
      <c r="E667" s="8"/>
      <c r="F667" s="198"/>
      <c r="G667" s="198"/>
      <c r="H667" s="198"/>
      <c r="I667" s="198"/>
      <c r="J667" s="198"/>
    </row>
    <row r="668" spans="2:10" s="15" customFormat="1" x14ac:dyDescent="0.25">
      <c r="B668" s="26"/>
      <c r="D668" s="8"/>
      <c r="E668" s="8"/>
      <c r="F668" s="198"/>
      <c r="G668" s="198"/>
      <c r="H668" s="198"/>
      <c r="I668" s="198"/>
      <c r="J668" s="198"/>
    </row>
    <row r="669" spans="2:10" s="15" customFormat="1" x14ac:dyDescent="0.25">
      <c r="B669" s="26"/>
      <c r="D669" s="8"/>
      <c r="E669" s="8"/>
      <c r="F669" s="198"/>
      <c r="G669" s="198"/>
      <c r="H669" s="198"/>
      <c r="I669" s="198"/>
      <c r="J669" s="198"/>
    </row>
    <row r="670" spans="2:10" s="15" customFormat="1" x14ac:dyDescent="0.25">
      <c r="B670" s="26"/>
      <c r="D670" s="8"/>
      <c r="E670" s="8"/>
      <c r="F670" s="198"/>
      <c r="G670" s="198"/>
      <c r="H670" s="198"/>
      <c r="I670" s="198"/>
      <c r="J670" s="198"/>
    </row>
    <row r="671" spans="2:10" s="15" customFormat="1" x14ac:dyDescent="0.25">
      <c r="B671" s="26"/>
      <c r="D671" s="8"/>
      <c r="E671" s="8"/>
      <c r="F671" s="198"/>
      <c r="G671" s="198"/>
      <c r="H671" s="198"/>
      <c r="I671" s="198"/>
      <c r="J671" s="198"/>
    </row>
    <row r="672" spans="2:10" s="15" customFormat="1" x14ac:dyDescent="0.25">
      <c r="B672" s="26"/>
      <c r="D672" s="8"/>
      <c r="E672" s="8"/>
      <c r="F672" s="198"/>
      <c r="G672" s="198"/>
      <c r="H672" s="198"/>
      <c r="I672" s="198"/>
      <c r="J672" s="198"/>
    </row>
    <row r="673" spans="2:10" s="15" customFormat="1" x14ac:dyDescent="0.25">
      <c r="B673" s="26"/>
      <c r="D673" s="8"/>
      <c r="E673" s="8"/>
      <c r="F673" s="198"/>
      <c r="G673" s="198"/>
      <c r="H673" s="198"/>
      <c r="I673" s="198"/>
      <c r="J673" s="198"/>
    </row>
    <row r="674" spans="2:10" s="15" customFormat="1" x14ac:dyDescent="0.25">
      <c r="B674" s="26"/>
      <c r="D674" s="8"/>
      <c r="E674" s="8"/>
      <c r="F674" s="198"/>
      <c r="G674" s="198"/>
      <c r="H674" s="198"/>
      <c r="I674" s="198"/>
      <c r="J674" s="198"/>
    </row>
    <row r="675" spans="2:10" s="15" customFormat="1" x14ac:dyDescent="0.25">
      <c r="B675" s="26"/>
      <c r="D675" s="8"/>
      <c r="E675" s="8"/>
      <c r="F675" s="198"/>
      <c r="G675" s="198"/>
      <c r="H675" s="198"/>
      <c r="I675" s="198"/>
      <c r="J675" s="198"/>
    </row>
    <row r="676" spans="2:10" s="15" customFormat="1" x14ac:dyDescent="0.25">
      <c r="B676" s="26"/>
      <c r="D676" s="8"/>
      <c r="E676" s="8"/>
      <c r="F676" s="198"/>
      <c r="G676" s="198"/>
      <c r="H676" s="198"/>
      <c r="I676" s="198"/>
      <c r="J676" s="198"/>
    </row>
    <row r="677" spans="2:10" s="15" customFormat="1" x14ac:dyDescent="0.25">
      <c r="B677" s="26"/>
      <c r="D677" s="8"/>
      <c r="E677" s="8"/>
      <c r="F677" s="198"/>
      <c r="G677" s="198"/>
      <c r="H677" s="198"/>
      <c r="I677" s="198"/>
      <c r="J677" s="198"/>
    </row>
    <row r="678" spans="2:10" s="15" customFormat="1" x14ac:dyDescent="0.25">
      <c r="B678" s="26"/>
      <c r="D678" s="8"/>
      <c r="E678" s="8"/>
      <c r="F678" s="198"/>
      <c r="G678" s="198"/>
      <c r="H678" s="198"/>
      <c r="I678" s="198"/>
      <c r="J678" s="198"/>
    </row>
    <row r="679" spans="2:10" s="15" customFormat="1" x14ac:dyDescent="0.25">
      <c r="B679" s="26"/>
      <c r="D679" s="8"/>
      <c r="E679" s="8"/>
      <c r="F679" s="198"/>
      <c r="G679" s="198"/>
      <c r="H679" s="198"/>
      <c r="I679" s="198"/>
      <c r="J679" s="198"/>
    </row>
    <row r="680" spans="2:10" s="15" customFormat="1" x14ac:dyDescent="0.25">
      <c r="B680" s="26"/>
      <c r="D680" s="8"/>
      <c r="E680" s="8"/>
      <c r="F680" s="198"/>
      <c r="G680" s="198"/>
      <c r="H680" s="198"/>
      <c r="I680" s="198"/>
      <c r="J680" s="198"/>
    </row>
    <row r="681" spans="2:10" s="15" customFormat="1" x14ac:dyDescent="0.25">
      <c r="B681" s="26"/>
      <c r="D681" s="8"/>
      <c r="E681" s="8"/>
      <c r="F681" s="198"/>
      <c r="G681" s="198"/>
      <c r="H681" s="198"/>
      <c r="I681" s="198"/>
      <c r="J681" s="198"/>
    </row>
    <row r="682" spans="2:10" s="15" customFormat="1" x14ac:dyDescent="0.25">
      <c r="B682" s="26"/>
      <c r="D682" s="8"/>
      <c r="E682" s="8"/>
      <c r="F682" s="198"/>
      <c r="G682" s="198"/>
      <c r="H682" s="198"/>
      <c r="I682" s="198"/>
      <c r="J682" s="198"/>
    </row>
    <row r="683" spans="2:10" s="15" customFormat="1" x14ac:dyDescent="0.25">
      <c r="B683" s="26"/>
      <c r="D683" s="8"/>
      <c r="E683" s="8"/>
      <c r="F683" s="198"/>
      <c r="G683" s="198"/>
      <c r="H683" s="198"/>
      <c r="I683" s="198"/>
      <c r="J683" s="198"/>
    </row>
    <row r="684" spans="2:10" s="15" customFormat="1" x14ac:dyDescent="0.25">
      <c r="B684" s="26"/>
      <c r="D684" s="8"/>
      <c r="E684" s="8"/>
      <c r="F684" s="198"/>
      <c r="G684" s="198"/>
      <c r="H684" s="198"/>
      <c r="I684" s="198"/>
      <c r="J684" s="198"/>
    </row>
    <row r="685" spans="2:10" s="15" customFormat="1" x14ac:dyDescent="0.25">
      <c r="B685" s="26"/>
      <c r="D685" s="8"/>
      <c r="E685" s="8"/>
      <c r="F685" s="198"/>
      <c r="G685" s="198"/>
      <c r="H685" s="198"/>
      <c r="I685" s="198"/>
      <c r="J685" s="198"/>
    </row>
    <row r="686" spans="2:10" s="15" customFormat="1" x14ac:dyDescent="0.25">
      <c r="B686" s="26"/>
      <c r="D686" s="8"/>
      <c r="E686" s="8"/>
      <c r="F686" s="198"/>
      <c r="G686" s="198"/>
      <c r="H686" s="198"/>
      <c r="I686" s="198"/>
      <c r="J686" s="198"/>
    </row>
    <row r="687" spans="2:10" s="15" customFormat="1" x14ac:dyDescent="0.25">
      <c r="B687" s="26"/>
      <c r="D687" s="8"/>
      <c r="E687" s="8"/>
      <c r="F687" s="198"/>
      <c r="G687" s="198"/>
      <c r="H687" s="198"/>
      <c r="I687" s="198"/>
      <c r="J687" s="198"/>
    </row>
    <row r="688" spans="2:10" s="15" customFormat="1" x14ac:dyDescent="0.25">
      <c r="B688" s="26"/>
      <c r="D688" s="8"/>
      <c r="E688" s="8"/>
      <c r="F688" s="198"/>
      <c r="G688" s="198"/>
      <c r="H688" s="198"/>
      <c r="I688" s="198"/>
      <c r="J688" s="198"/>
    </row>
    <row r="689" spans="2:10" s="15" customFormat="1" x14ac:dyDescent="0.25">
      <c r="B689" s="26"/>
      <c r="D689" s="8"/>
      <c r="E689" s="8"/>
      <c r="F689" s="198"/>
      <c r="G689" s="198"/>
      <c r="H689" s="198"/>
      <c r="I689" s="198"/>
      <c r="J689" s="198"/>
    </row>
    <row r="690" spans="2:10" s="15" customFormat="1" x14ac:dyDescent="0.25">
      <c r="B690" s="26"/>
      <c r="D690" s="8"/>
      <c r="E690" s="8"/>
      <c r="F690" s="198"/>
      <c r="G690" s="198"/>
      <c r="H690" s="198"/>
      <c r="I690" s="198"/>
      <c r="J690" s="198"/>
    </row>
    <row r="691" spans="2:10" s="15" customFormat="1" x14ac:dyDescent="0.25">
      <c r="B691" s="26"/>
      <c r="D691" s="8"/>
      <c r="E691" s="8"/>
      <c r="F691" s="198"/>
      <c r="G691" s="198"/>
      <c r="H691" s="198"/>
      <c r="I691" s="198"/>
      <c r="J691" s="198"/>
    </row>
    <row r="692" spans="2:10" s="15" customFormat="1" x14ac:dyDescent="0.25">
      <c r="B692" s="26"/>
      <c r="D692" s="8"/>
      <c r="E692" s="8"/>
      <c r="F692" s="198"/>
      <c r="G692" s="198"/>
      <c r="H692" s="198"/>
      <c r="I692" s="198"/>
      <c r="J692" s="198"/>
    </row>
    <row r="693" spans="2:10" s="15" customFormat="1" x14ac:dyDescent="0.25">
      <c r="B693" s="26"/>
      <c r="D693" s="8"/>
      <c r="E693" s="8"/>
      <c r="F693" s="198"/>
      <c r="G693" s="198"/>
      <c r="H693" s="198"/>
      <c r="I693" s="198"/>
      <c r="J693" s="198"/>
    </row>
    <row r="694" spans="2:10" s="15" customFormat="1" x14ac:dyDescent="0.25">
      <c r="B694" s="26"/>
      <c r="D694" s="8"/>
      <c r="E694" s="8"/>
      <c r="F694" s="198"/>
      <c r="G694" s="198"/>
      <c r="H694" s="198"/>
      <c r="I694" s="198"/>
      <c r="J694" s="198"/>
    </row>
    <row r="695" spans="2:10" s="15" customFormat="1" x14ac:dyDescent="0.25">
      <c r="B695" s="26"/>
      <c r="D695" s="8"/>
      <c r="E695" s="8"/>
      <c r="F695" s="198"/>
      <c r="G695" s="198"/>
      <c r="H695" s="198"/>
      <c r="I695" s="198"/>
      <c r="J695" s="198"/>
    </row>
    <row r="696" spans="2:10" s="15" customFormat="1" x14ac:dyDescent="0.25">
      <c r="B696" s="26"/>
      <c r="D696" s="8"/>
      <c r="E696" s="8"/>
      <c r="F696" s="198"/>
      <c r="G696" s="198"/>
      <c r="H696" s="198"/>
      <c r="I696" s="198"/>
      <c r="J696" s="198"/>
    </row>
    <row r="697" spans="2:10" s="15" customFormat="1" x14ac:dyDescent="0.25">
      <c r="B697" s="26"/>
      <c r="D697" s="8"/>
      <c r="E697" s="8"/>
      <c r="F697" s="198"/>
      <c r="G697" s="198"/>
      <c r="H697" s="198"/>
      <c r="I697" s="198"/>
      <c r="J697" s="198"/>
    </row>
    <row r="698" spans="2:10" s="15" customFormat="1" x14ac:dyDescent="0.25">
      <c r="B698" s="26"/>
      <c r="D698" s="8"/>
      <c r="E698" s="8"/>
      <c r="F698" s="198"/>
      <c r="G698" s="198"/>
      <c r="H698" s="198"/>
      <c r="I698" s="198"/>
      <c r="J698" s="198"/>
    </row>
    <row r="699" spans="2:10" s="15" customFormat="1" x14ac:dyDescent="0.25">
      <c r="B699" s="26"/>
      <c r="D699" s="8"/>
      <c r="E699" s="8"/>
      <c r="F699" s="198"/>
      <c r="G699" s="198"/>
      <c r="H699" s="198"/>
      <c r="I699" s="198"/>
      <c r="J699" s="198"/>
    </row>
    <row r="700" spans="2:10" s="15" customFormat="1" x14ac:dyDescent="0.25">
      <c r="B700" s="26"/>
      <c r="D700" s="8"/>
      <c r="E700" s="8"/>
      <c r="F700" s="198"/>
      <c r="G700" s="198"/>
      <c r="H700" s="198"/>
      <c r="I700" s="198"/>
      <c r="J700" s="198"/>
    </row>
    <row r="701" spans="2:10" s="15" customFormat="1" x14ac:dyDescent="0.25">
      <c r="B701" s="26"/>
      <c r="D701" s="8"/>
      <c r="E701" s="8"/>
      <c r="F701" s="198"/>
      <c r="G701" s="198"/>
      <c r="H701" s="198"/>
      <c r="I701" s="198"/>
      <c r="J701" s="198"/>
    </row>
    <row r="702" spans="2:10" s="15" customFormat="1" x14ac:dyDescent="0.25">
      <c r="B702" s="26"/>
      <c r="D702" s="8"/>
      <c r="E702" s="8"/>
      <c r="F702" s="198"/>
      <c r="G702" s="198"/>
      <c r="H702" s="198"/>
      <c r="I702" s="198"/>
      <c r="J702" s="198"/>
    </row>
    <row r="703" spans="2:10" s="15" customFormat="1" x14ac:dyDescent="0.25">
      <c r="B703" s="26"/>
      <c r="D703" s="8"/>
      <c r="E703" s="8"/>
      <c r="F703" s="198"/>
      <c r="G703" s="198"/>
      <c r="H703" s="198"/>
      <c r="I703" s="198"/>
      <c r="J703" s="198"/>
    </row>
    <row r="704" spans="2:10" s="15" customFormat="1" x14ac:dyDescent="0.25">
      <c r="B704" s="26"/>
      <c r="D704" s="8"/>
      <c r="E704" s="8"/>
      <c r="F704" s="198"/>
      <c r="G704" s="198"/>
      <c r="H704" s="198"/>
      <c r="I704" s="198"/>
      <c r="J704" s="198"/>
    </row>
    <row r="705" spans="2:10" s="15" customFormat="1" x14ac:dyDescent="0.25">
      <c r="B705" s="26"/>
      <c r="D705" s="8"/>
      <c r="E705" s="8"/>
      <c r="F705" s="198"/>
      <c r="G705" s="198"/>
      <c r="H705" s="198"/>
      <c r="I705" s="198"/>
      <c r="J705" s="198"/>
    </row>
    <row r="706" spans="2:10" s="15" customFormat="1" x14ac:dyDescent="0.25">
      <c r="B706" s="26"/>
      <c r="D706" s="8"/>
      <c r="E706" s="8"/>
      <c r="F706" s="198"/>
      <c r="G706" s="198"/>
      <c r="H706" s="198"/>
      <c r="I706" s="198"/>
      <c r="J706" s="198"/>
    </row>
    <row r="707" spans="2:10" s="15" customFormat="1" x14ac:dyDescent="0.25">
      <c r="B707" s="26"/>
      <c r="D707" s="8"/>
      <c r="E707" s="8"/>
      <c r="F707" s="198"/>
      <c r="G707" s="198"/>
      <c r="H707" s="198"/>
      <c r="I707" s="198"/>
      <c r="J707" s="198"/>
    </row>
    <row r="708" spans="2:10" s="15" customFormat="1" x14ac:dyDescent="0.25">
      <c r="B708" s="26"/>
      <c r="D708" s="8"/>
      <c r="E708" s="8"/>
      <c r="F708" s="198"/>
      <c r="G708" s="198"/>
      <c r="H708" s="198"/>
      <c r="I708" s="198"/>
      <c r="J708" s="198"/>
    </row>
    <row r="709" spans="2:10" s="15" customFormat="1" x14ac:dyDescent="0.25">
      <c r="B709" s="26"/>
      <c r="D709" s="8"/>
      <c r="E709" s="8"/>
      <c r="F709" s="198"/>
      <c r="G709" s="198"/>
      <c r="H709" s="198"/>
      <c r="I709" s="198"/>
      <c r="J709" s="198"/>
    </row>
    <row r="710" spans="2:10" s="15" customFormat="1" x14ac:dyDescent="0.25">
      <c r="B710" s="26"/>
      <c r="D710" s="8"/>
      <c r="E710" s="8"/>
      <c r="F710" s="198"/>
      <c r="G710" s="198"/>
      <c r="H710" s="198"/>
      <c r="I710" s="198"/>
      <c r="J710" s="198"/>
    </row>
    <row r="711" spans="2:10" s="15" customFormat="1" x14ac:dyDescent="0.25">
      <c r="B711" s="26"/>
      <c r="D711" s="8"/>
      <c r="E711" s="8"/>
      <c r="F711" s="198"/>
      <c r="G711" s="198"/>
      <c r="H711" s="198"/>
      <c r="I711" s="198"/>
      <c r="J711" s="198"/>
    </row>
    <row r="712" spans="2:10" s="15" customFormat="1" x14ac:dyDescent="0.25">
      <c r="B712" s="26"/>
      <c r="D712" s="8"/>
      <c r="E712" s="8"/>
      <c r="F712" s="198"/>
      <c r="G712" s="198"/>
      <c r="H712" s="198"/>
      <c r="I712" s="198"/>
      <c r="J712" s="198"/>
    </row>
    <row r="713" spans="2:10" s="15" customFormat="1" x14ac:dyDescent="0.25">
      <c r="B713" s="26"/>
      <c r="D713" s="8"/>
      <c r="E713" s="8"/>
      <c r="F713" s="198"/>
      <c r="G713" s="198"/>
      <c r="H713" s="198"/>
      <c r="I713" s="198"/>
      <c r="J713" s="198"/>
    </row>
    <row r="714" spans="2:10" s="15" customFormat="1" x14ac:dyDescent="0.25">
      <c r="B714" s="26"/>
      <c r="D714" s="8"/>
      <c r="E714" s="8"/>
      <c r="F714" s="198"/>
      <c r="G714" s="198"/>
      <c r="H714" s="198"/>
      <c r="I714" s="198"/>
      <c r="J714" s="198"/>
    </row>
    <row r="715" spans="2:10" s="15" customFormat="1" x14ac:dyDescent="0.25">
      <c r="B715" s="26"/>
      <c r="D715" s="8"/>
      <c r="E715" s="8"/>
      <c r="F715" s="198"/>
      <c r="G715" s="198"/>
      <c r="H715" s="198"/>
      <c r="I715" s="198"/>
      <c r="J715" s="198"/>
    </row>
    <row r="716" spans="2:10" s="15" customFormat="1" x14ac:dyDescent="0.25">
      <c r="B716" s="26"/>
      <c r="D716" s="8"/>
      <c r="E716" s="8"/>
      <c r="F716" s="198"/>
      <c r="G716" s="198"/>
      <c r="H716" s="198"/>
      <c r="I716" s="198"/>
      <c r="J716" s="198"/>
    </row>
    <row r="717" spans="2:10" s="15" customFormat="1" x14ac:dyDescent="0.25">
      <c r="B717" s="26"/>
      <c r="D717" s="8"/>
      <c r="E717" s="8"/>
      <c r="F717" s="198"/>
      <c r="G717" s="198"/>
      <c r="H717" s="198"/>
      <c r="I717" s="198"/>
      <c r="J717" s="198"/>
    </row>
    <row r="718" spans="2:10" s="15" customFormat="1" x14ac:dyDescent="0.25">
      <c r="B718" s="26"/>
      <c r="D718" s="8"/>
      <c r="E718" s="8"/>
      <c r="F718" s="198"/>
      <c r="G718" s="198"/>
      <c r="H718" s="198"/>
      <c r="I718" s="198"/>
      <c r="J718" s="198"/>
    </row>
    <row r="719" spans="2:10" s="15" customFormat="1" x14ac:dyDescent="0.25">
      <c r="B719" s="26"/>
      <c r="D719" s="8"/>
      <c r="E719" s="8"/>
      <c r="F719" s="198"/>
      <c r="G719" s="198"/>
      <c r="H719" s="198"/>
      <c r="I719" s="198"/>
      <c r="J719" s="198"/>
    </row>
    <row r="720" spans="2:10" s="15" customFormat="1" x14ac:dyDescent="0.25">
      <c r="B720" s="26"/>
      <c r="D720" s="8"/>
      <c r="E720" s="8"/>
      <c r="F720" s="198"/>
      <c r="G720" s="198"/>
      <c r="H720" s="198"/>
      <c r="I720" s="198"/>
      <c r="J720" s="198"/>
    </row>
    <row r="721" spans="2:10" s="15" customFormat="1" x14ac:dyDescent="0.25">
      <c r="B721" s="26"/>
      <c r="D721" s="8"/>
      <c r="E721" s="8"/>
      <c r="F721" s="198"/>
      <c r="G721" s="198"/>
      <c r="H721" s="198"/>
      <c r="I721" s="198"/>
      <c r="J721" s="198"/>
    </row>
    <row r="722" spans="2:10" s="15" customFormat="1" x14ac:dyDescent="0.25">
      <c r="B722" s="26"/>
      <c r="D722" s="8"/>
      <c r="E722" s="8"/>
      <c r="F722" s="198"/>
      <c r="G722" s="198"/>
      <c r="H722" s="198"/>
      <c r="I722" s="198"/>
      <c r="J722" s="198"/>
    </row>
    <row r="723" spans="2:10" s="15" customFormat="1" x14ac:dyDescent="0.25">
      <c r="B723" s="26"/>
      <c r="D723" s="8"/>
      <c r="E723" s="8"/>
      <c r="F723" s="198"/>
      <c r="G723" s="198"/>
      <c r="H723" s="198"/>
      <c r="I723" s="198"/>
      <c r="J723" s="198"/>
    </row>
    <row r="724" spans="2:10" s="15" customFormat="1" x14ac:dyDescent="0.25">
      <c r="B724" s="26"/>
      <c r="D724" s="8"/>
      <c r="E724" s="8"/>
      <c r="F724" s="198"/>
      <c r="G724" s="198"/>
      <c r="H724" s="198"/>
      <c r="I724" s="198"/>
      <c r="J724" s="198"/>
    </row>
    <row r="725" spans="2:10" s="15" customFormat="1" x14ac:dyDescent="0.25">
      <c r="B725" s="26"/>
      <c r="D725" s="8"/>
      <c r="E725" s="8"/>
      <c r="F725" s="198"/>
      <c r="G725" s="198"/>
      <c r="H725" s="198"/>
      <c r="I725" s="198"/>
      <c r="J725" s="198"/>
    </row>
    <row r="726" spans="2:10" s="15" customFormat="1" x14ac:dyDescent="0.25">
      <c r="B726" s="26"/>
      <c r="D726" s="8"/>
      <c r="E726" s="8"/>
      <c r="F726" s="198"/>
      <c r="G726" s="198"/>
      <c r="H726" s="198"/>
      <c r="I726" s="198"/>
      <c r="J726" s="198"/>
    </row>
    <row r="727" spans="2:10" s="15" customFormat="1" x14ac:dyDescent="0.25">
      <c r="B727" s="26"/>
      <c r="D727" s="8"/>
      <c r="E727" s="8"/>
      <c r="F727" s="198"/>
      <c r="G727" s="198"/>
      <c r="H727" s="198"/>
      <c r="I727" s="198"/>
      <c r="J727" s="198"/>
    </row>
    <row r="728" spans="2:10" s="15" customFormat="1" x14ac:dyDescent="0.25">
      <c r="B728" s="26"/>
      <c r="D728" s="8"/>
      <c r="E728" s="8"/>
      <c r="F728" s="198"/>
      <c r="G728" s="198"/>
      <c r="H728" s="198"/>
      <c r="I728" s="198"/>
      <c r="J728" s="198"/>
    </row>
    <row r="729" spans="2:10" s="15" customFormat="1" x14ac:dyDescent="0.25">
      <c r="B729" s="26"/>
      <c r="D729" s="8"/>
      <c r="E729" s="8"/>
      <c r="F729" s="198"/>
      <c r="G729" s="198"/>
      <c r="H729" s="198"/>
      <c r="I729" s="198"/>
      <c r="J729" s="198"/>
    </row>
    <row r="730" spans="2:10" s="15" customFormat="1" x14ac:dyDescent="0.25">
      <c r="B730" s="26"/>
      <c r="D730" s="8"/>
      <c r="E730" s="8"/>
      <c r="F730" s="198"/>
      <c r="G730" s="198"/>
      <c r="H730" s="198"/>
      <c r="I730" s="198"/>
      <c r="J730" s="198"/>
    </row>
    <row r="731" spans="2:10" s="15" customFormat="1" x14ac:dyDescent="0.25">
      <c r="B731" s="26"/>
      <c r="D731" s="8"/>
      <c r="E731" s="8"/>
      <c r="F731" s="198"/>
      <c r="G731" s="198"/>
      <c r="H731" s="198"/>
      <c r="I731" s="198"/>
      <c r="J731" s="198"/>
    </row>
    <row r="732" spans="2:10" s="15" customFormat="1" x14ac:dyDescent="0.25">
      <c r="B732" s="26"/>
      <c r="D732" s="8"/>
      <c r="E732" s="8"/>
      <c r="F732" s="198"/>
      <c r="G732" s="198"/>
      <c r="H732" s="198"/>
      <c r="I732" s="198"/>
      <c r="J732" s="198"/>
    </row>
    <row r="733" spans="2:10" s="15" customFormat="1" x14ac:dyDescent="0.25">
      <c r="B733" s="26"/>
      <c r="D733" s="8"/>
      <c r="E733" s="8"/>
      <c r="F733" s="198"/>
      <c r="G733" s="198"/>
      <c r="H733" s="198"/>
      <c r="I733" s="198"/>
      <c r="J733" s="198"/>
    </row>
    <row r="734" spans="2:10" s="15" customFormat="1" x14ac:dyDescent="0.25">
      <c r="B734" s="26"/>
      <c r="D734" s="8"/>
      <c r="E734" s="8"/>
      <c r="F734" s="198"/>
      <c r="G734" s="198"/>
      <c r="H734" s="198"/>
      <c r="I734" s="198"/>
      <c r="J734" s="198"/>
    </row>
    <row r="735" spans="2:10" s="15" customFormat="1" x14ac:dyDescent="0.25">
      <c r="B735" s="26"/>
      <c r="D735" s="8"/>
      <c r="E735" s="8"/>
      <c r="F735" s="198"/>
      <c r="G735" s="198"/>
      <c r="H735" s="198"/>
      <c r="I735" s="198"/>
      <c r="J735" s="198"/>
    </row>
    <row r="736" spans="2:10" s="15" customFormat="1" x14ac:dyDescent="0.25">
      <c r="B736" s="26"/>
      <c r="D736" s="8"/>
      <c r="E736" s="8"/>
      <c r="F736" s="198"/>
      <c r="G736" s="198"/>
      <c r="H736" s="198"/>
      <c r="I736" s="198"/>
      <c r="J736" s="198"/>
    </row>
    <row r="737" spans="2:10" s="15" customFormat="1" x14ac:dyDescent="0.25">
      <c r="B737" s="26"/>
      <c r="D737" s="8"/>
      <c r="E737" s="8"/>
      <c r="F737" s="198"/>
      <c r="G737" s="198"/>
      <c r="H737" s="198"/>
      <c r="I737" s="198"/>
      <c r="J737" s="198"/>
    </row>
    <row r="738" spans="2:10" s="15" customFormat="1" x14ac:dyDescent="0.25">
      <c r="B738" s="26"/>
      <c r="D738" s="8"/>
      <c r="E738" s="8"/>
      <c r="F738" s="198"/>
      <c r="G738" s="198"/>
      <c r="H738" s="198"/>
      <c r="I738" s="198"/>
      <c r="J738" s="198"/>
    </row>
    <row r="739" spans="2:10" s="15" customFormat="1" x14ac:dyDescent="0.25">
      <c r="B739" s="26"/>
      <c r="D739" s="8"/>
      <c r="E739" s="8"/>
      <c r="F739" s="198"/>
      <c r="G739" s="198"/>
      <c r="H739" s="198"/>
      <c r="I739" s="198"/>
      <c r="J739" s="198"/>
    </row>
    <row r="740" spans="2:10" s="15" customFormat="1" x14ac:dyDescent="0.25">
      <c r="B740" s="26"/>
      <c r="D740" s="8"/>
      <c r="E740" s="8"/>
      <c r="F740" s="198"/>
      <c r="G740" s="198"/>
      <c r="H740" s="198"/>
      <c r="I740" s="198"/>
      <c r="J740" s="198"/>
    </row>
    <row r="741" spans="2:10" s="15" customFormat="1" x14ac:dyDescent="0.25">
      <c r="B741" s="26"/>
      <c r="D741" s="8"/>
      <c r="E741" s="8"/>
      <c r="F741" s="198"/>
      <c r="G741" s="198"/>
      <c r="H741" s="198"/>
      <c r="I741" s="198"/>
      <c r="J741" s="198"/>
    </row>
    <row r="742" spans="2:10" s="15" customFormat="1" x14ac:dyDescent="0.25">
      <c r="B742" s="26"/>
      <c r="D742" s="8"/>
      <c r="E742" s="8"/>
      <c r="F742" s="198"/>
      <c r="G742" s="198"/>
      <c r="H742" s="198"/>
      <c r="I742" s="198"/>
      <c r="J742" s="198"/>
    </row>
    <row r="743" spans="2:10" s="15" customFormat="1" x14ac:dyDescent="0.25">
      <c r="B743" s="26"/>
      <c r="D743" s="8"/>
      <c r="E743" s="8"/>
      <c r="F743" s="198"/>
      <c r="G743" s="198"/>
      <c r="H743" s="198"/>
      <c r="I743" s="198"/>
      <c r="J743" s="198"/>
    </row>
    <row r="744" spans="2:10" s="15" customFormat="1" x14ac:dyDescent="0.25">
      <c r="B744" s="26"/>
      <c r="D744" s="8"/>
      <c r="E744" s="8"/>
      <c r="F744" s="198"/>
      <c r="G744" s="198"/>
      <c r="H744" s="198"/>
      <c r="I744" s="198"/>
      <c r="J744" s="198"/>
    </row>
    <row r="745" spans="2:10" s="15" customFormat="1" x14ac:dyDescent="0.25">
      <c r="B745" s="26"/>
      <c r="D745" s="8"/>
      <c r="E745" s="8"/>
      <c r="F745" s="198"/>
      <c r="G745" s="198"/>
      <c r="H745" s="198"/>
      <c r="I745" s="198"/>
      <c r="J745" s="198"/>
    </row>
    <row r="746" spans="2:10" s="15" customFormat="1" x14ac:dyDescent="0.25">
      <c r="B746" s="26"/>
      <c r="D746" s="8"/>
      <c r="E746" s="8"/>
      <c r="F746" s="198"/>
      <c r="G746" s="198"/>
      <c r="H746" s="198"/>
      <c r="I746" s="198"/>
      <c r="J746" s="198"/>
    </row>
    <row r="747" spans="2:10" s="15" customFormat="1" x14ac:dyDescent="0.25">
      <c r="B747" s="26"/>
      <c r="D747" s="8"/>
      <c r="E747" s="8"/>
      <c r="F747" s="198"/>
      <c r="G747" s="198"/>
      <c r="H747" s="198"/>
      <c r="I747" s="198"/>
      <c r="J747" s="198"/>
    </row>
    <row r="748" spans="2:10" s="15" customFormat="1" x14ac:dyDescent="0.25">
      <c r="B748" s="26"/>
      <c r="D748" s="8"/>
      <c r="E748" s="8"/>
      <c r="F748" s="198"/>
      <c r="G748" s="198"/>
      <c r="H748" s="198"/>
      <c r="I748" s="198"/>
      <c r="J748" s="198"/>
    </row>
    <row r="749" spans="2:10" s="15" customFormat="1" x14ac:dyDescent="0.25">
      <c r="B749" s="26"/>
      <c r="D749" s="8"/>
      <c r="E749" s="8"/>
      <c r="F749" s="198"/>
      <c r="G749" s="198"/>
      <c r="H749" s="198"/>
      <c r="I749" s="198"/>
      <c r="J749" s="198"/>
    </row>
    <row r="750" spans="2:10" s="15" customFormat="1" x14ac:dyDescent="0.25">
      <c r="B750" s="26"/>
      <c r="D750" s="8"/>
      <c r="E750" s="8"/>
      <c r="F750" s="198"/>
      <c r="G750" s="198"/>
      <c r="H750" s="198"/>
      <c r="I750" s="198"/>
      <c r="J750" s="198"/>
    </row>
    <row r="751" spans="2:10" s="15" customFormat="1" x14ac:dyDescent="0.25">
      <c r="B751" s="26"/>
      <c r="D751" s="8"/>
      <c r="E751" s="8"/>
      <c r="F751" s="198"/>
      <c r="G751" s="198"/>
      <c r="H751" s="198"/>
      <c r="I751" s="198"/>
      <c r="J751" s="198"/>
    </row>
    <row r="752" spans="2:10" s="15" customFormat="1" x14ac:dyDescent="0.25">
      <c r="B752" s="26"/>
      <c r="D752" s="8"/>
      <c r="E752" s="8"/>
      <c r="F752" s="198"/>
      <c r="G752" s="198"/>
      <c r="H752" s="198"/>
      <c r="I752" s="198"/>
      <c r="J752" s="198"/>
    </row>
    <row r="753" spans="2:10" s="15" customFormat="1" x14ac:dyDescent="0.25">
      <c r="B753" s="26"/>
      <c r="D753" s="8"/>
      <c r="E753" s="8"/>
      <c r="F753" s="198"/>
      <c r="G753" s="198"/>
      <c r="H753" s="198"/>
      <c r="I753" s="198"/>
      <c r="J753" s="198"/>
    </row>
    <row r="754" spans="2:10" s="15" customFormat="1" x14ac:dyDescent="0.25">
      <c r="B754" s="26"/>
      <c r="D754" s="8"/>
      <c r="E754" s="8"/>
      <c r="F754" s="198"/>
      <c r="G754" s="198"/>
      <c r="H754" s="198"/>
      <c r="I754" s="198"/>
      <c r="J754" s="198"/>
    </row>
    <row r="755" spans="2:10" s="15" customFormat="1" x14ac:dyDescent="0.25">
      <c r="B755" s="26"/>
      <c r="D755" s="8"/>
      <c r="E755" s="8"/>
      <c r="F755" s="198"/>
      <c r="G755" s="198"/>
      <c r="H755" s="198"/>
      <c r="I755" s="198"/>
      <c r="J755" s="198"/>
    </row>
    <row r="756" spans="2:10" s="15" customFormat="1" x14ac:dyDescent="0.25">
      <c r="B756" s="26"/>
      <c r="D756" s="8"/>
      <c r="E756" s="8"/>
      <c r="F756" s="198"/>
      <c r="G756" s="198"/>
      <c r="H756" s="198"/>
      <c r="I756" s="198"/>
      <c r="J756" s="198"/>
    </row>
    <row r="757" spans="2:10" s="15" customFormat="1" x14ac:dyDescent="0.25">
      <c r="B757" s="26"/>
      <c r="D757" s="8"/>
      <c r="E757" s="8"/>
      <c r="F757" s="198"/>
      <c r="G757" s="198"/>
      <c r="H757" s="198"/>
      <c r="I757" s="198"/>
      <c r="J757" s="198"/>
    </row>
    <row r="758" spans="2:10" s="15" customFormat="1" x14ac:dyDescent="0.25">
      <c r="B758" s="26"/>
      <c r="D758" s="8"/>
      <c r="E758" s="8"/>
      <c r="F758" s="198"/>
      <c r="G758" s="198"/>
      <c r="H758" s="198"/>
      <c r="I758" s="198"/>
      <c r="J758" s="198"/>
    </row>
    <row r="759" spans="2:10" s="15" customFormat="1" x14ac:dyDescent="0.25">
      <c r="B759" s="26"/>
      <c r="D759" s="8"/>
      <c r="E759" s="8"/>
      <c r="F759" s="198"/>
      <c r="G759" s="198"/>
      <c r="H759" s="198"/>
      <c r="I759" s="198"/>
      <c r="J759" s="198"/>
    </row>
    <row r="760" spans="2:10" s="15" customFormat="1" x14ac:dyDescent="0.25">
      <c r="B760" s="26"/>
      <c r="D760" s="8"/>
      <c r="E760" s="8"/>
      <c r="F760" s="198"/>
      <c r="G760" s="198"/>
      <c r="H760" s="198"/>
      <c r="I760" s="198"/>
      <c r="J760" s="198"/>
    </row>
    <row r="761" spans="2:10" s="15" customFormat="1" x14ac:dyDescent="0.25">
      <c r="B761" s="26"/>
      <c r="D761" s="8"/>
      <c r="E761" s="8"/>
      <c r="F761" s="198"/>
      <c r="G761" s="198"/>
      <c r="H761" s="198"/>
      <c r="I761" s="198"/>
      <c r="J761" s="198"/>
    </row>
    <row r="762" spans="2:10" s="15" customFormat="1" x14ac:dyDescent="0.25">
      <c r="B762" s="26"/>
      <c r="D762" s="8"/>
      <c r="E762" s="8"/>
      <c r="F762" s="198"/>
      <c r="G762" s="198"/>
      <c r="H762" s="198"/>
      <c r="I762" s="198"/>
      <c r="J762" s="198"/>
    </row>
    <row r="763" spans="2:10" s="15" customFormat="1" x14ac:dyDescent="0.25">
      <c r="B763" s="26"/>
      <c r="D763" s="8"/>
      <c r="E763" s="8"/>
      <c r="F763" s="198"/>
      <c r="G763" s="198"/>
      <c r="H763" s="198"/>
      <c r="I763" s="198"/>
      <c r="J763" s="198"/>
    </row>
    <row r="764" spans="2:10" s="15" customFormat="1" x14ac:dyDescent="0.25">
      <c r="B764" s="26"/>
      <c r="D764" s="8"/>
      <c r="E764" s="8"/>
      <c r="F764" s="198"/>
      <c r="G764" s="198"/>
      <c r="H764" s="198"/>
      <c r="I764" s="198"/>
      <c r="J764" s="198"/>
    </row>
    <row r="765" spans="2:10" s="15" customFormat="1" x14ac:dyDescent="0.25">
      <c r="B765" s="26"/>
      <c r="D765" s="8"/>
      <c r="E765" s="8"/>
      <c r="F765" s="198"/>
      <c r="G765" s="198"/>
      <c r="H765" s="198"/>
      <c r="I765" s="198"/>
      <c r="J765" s="198"/>
    </row>
    <row r="766" spans="2:10" s="15" customFormat="1" x14ac:dyDescent="0.25">
      <c r="B766" s="26"/>
      <c r="D766" s="8"/>
      <c r="E766" s="8"/>
      <c r="F766" s="198"/>
      <c r="G766" s="198"/>
      <c r="H766" s="198"/>
      <c r="I766" s="198"/>
      <c r="J766" s="198"/>
    </row>
    <row r="767" spans="2:10" s="15" customFormat="1" x14ac:dyDescent="0.25">
      <c r="B767" s="26"/>
      <c r="D767" s="8"/>
      <c r="E767" s="8"/>
      <c r="F767" s="198"/>
      <c r="G767" s="198"/>
      <c r="H767" s="198"/>
      <c r="I767" s="198"/>
      <c r="J767" s="198"/>
    </row>
    <row r="768" spans="2:10" s="15" customFormat="1" x14ac:dyDescent="0.25">
      <c r="B768" s="26"/>
      <c r="D768" s="8"/>
      <c r="E768" s="8"/>
      <c r="F768" s="198"/>
      <c r="G768" s="198"/>
      <c r="H768" s="198"/>
      <c r="I768" s="198"/>
      <c r="J768" s="198"/>
    </row>
    <row r="769" spans="2:10" s="15" customFormat="1" x14ac:dyDescent="0.25">
      <c r="B769" s="26"/>
      <c r="D769" s="8"/>
      <c r="E769" s="8"/>
      <c r="F769" s="198"/>
      <c r="G769" s="198"/>
      <c r="H769" s="198"/>
      <c r="I769" s="198"/>
      <c r="J769" s="198"/>
    </row>
    <row r="770" spans="2:10" s="15" customFormat="1" x14ac:dyDescent="0.25">
      <c r="B770" s="26"/>
      <c r="D770" s="8"/>
      <c r="E770" s="8"/>
      <c r="F770" s="198"/>
      <c r="G770" s="198"/>
      <c r="H770" s="198"/>
      <c r="I770" s="198"/>
      <c r="J770" s="198"/>
    </row>
    <row r="771" spans="2:10" s="15" customFormat="1" x14ac:dyDescent="0.25">
      <c r="B771" s="26"/>
      <c r="D771" s="8"/>
      <c r="E771" s="8"/>
      <c r="F771" s="198"/>
      <c r="G771" s="198"/>
      <c r="H771" s="198"/>
      <c r="I771" s="198"/>
      <c r="J771" s="198"/>
    </row>
    <row r="772" spans="2:10" s="15" customFormat="1" x14ac:dyDescent="0.25">
      <c r="B772" s="26"/>
      <c r="D772" s="8"/>
      <c r="E772" s="8"/>
      <c r="F772" s="198"/>
      <c r="G772" s="198"/>
      <c r="H772" s="198"/>
      <c r="I772" s="198"/>
      <c r="J772" s="198"/>
    </row>
    <row r="773" spans="2:10" s="15" customFormat="1" x14ac:dyDescent="0.25">
      <c r="B773" s="26"/>
      <c r="D773" s="8"/>
      <c r="E773" s="8"/>
      <c r="F773" s="198"/>
      <c r="G773" s="198"/>
      <c r="H773" s="198"/>
      <c r="I773" s="198"/>
      <c r="J773" s="198"/>
    </row>
    <row r="774" spans="2:10" s="15" customFormat="1" x14ac:dyDescent="0.25">
      <c r="B774" s="26"/>
      <c r="D774" s="8"/>
      <c r="E774" s="8"/>
      <c r="F774" s="198"/>
      <c r="G774" s="198"/>
      <c r="H774" s="198"/>
      <c r="I774" s="198"/>
      <c r="J774" s="198"/>
    </row>
    <row r="775" spans="2:10" s="15" customFormat="1" x14ac:dyDescent="0.25">
      <c r="B775" s="26"/>
      <c r="D775" s="8"/>
      <c r="E775" s="8"/>
      <c r="F775" s="198"/>
      <c r="G775" s="198"/>
      <c r="H775" s="198"/>
      <c r="I775" s="198"/>
      <c r="J775" s="198"/>
    </row>
    <row r="776" spans="2:10" s="15" customFormat="1" x14ac:dyDescent="0.25">
      <c r="B776" s="26"/>
      <c r="D776" s="8"/>
      <c r="E776" s="8"/>
      <c r="F776" s="198"/>
      <c r="G776" s="198"/>
      <c r="H776" s="198"/>
      <c r="I776" s="198"/>
      <c r="J776" s="198"/>
    </row>
    <row r="777" spans="2:10" s="15" customFormat="1" x14ac:dyDescent="0.25">
      <c r="B777" s="26"/>
      <c r="D777" s="8"/>
      <c r="E777" s="8"/>
      <c r="F777" s="198"/>
      <c r="G777" s="198"/>
      <c r="H777" s="198"/>
      <c r="I777" s="198"/>
      <c r="J777" s="198"/>
    </row>
    <row r="778" spans="2:10" s="15" customFormat="1" x14ac:dyDescent="0.25">
      <c r="B778" s="26"/>
      <c r="D778" s="8"/>
      <c r="E778" s="8"/>
      <c r="F778" s="198"/>
      <c r="G778" s="198"/>
      <c r="H778" s="198"/>
      <c r="I778" s="198"/>
      <c r="J778" s="198"/>
    </row>
    <row r="779" spans="2:10" s="15" customFormat="1" x14ac:dyDescent="0.25">
      <c r="B779" s="26"/>
      <c r="D779" s="8"/>
      <c r="E779" s="8"/>
      <c r="F779" s="198"/>
      <c r="G779" s="198"/>
      <c r="H779" s="198"/>
      <c r="I779" s="198"/>
      <c r="J779" s="198"/>
    </row>
    <row r="780" spans="2:10" s="15" customFormat="1" x14ac:dyDescent="0.25">
      <c r="B780" s="26"/>
      <c r="D780" s="8"/>
      <c r="E780" s="8"/>
      <c r="F780" s="198"/>
      <c r="G780" s="198"/>
      <c r="H780" s="198"/>
      <c r="I780" s="198"/>
      <c r="J780" s="198"/>
    </row>
    <row r="781" spans="2:10" s="15" customFormat="1" x14ac:dyDescent="0.25">
      <c r="B781" s="26"/>
      <c r="D781" s="8"/>
      <c r="E781" s="8"/>
      <c r="F781" s="198"/>
      <c r="G781" s="198"/>
      <c r="H781" s="198"/>
      <c r="I781" s="198"/>
      <c r="J781" s="198"/>
    </row>
    <row r="782" spans="2:10" s="15" customFormat="1" x14ac:dyDescent="0.25">
      <c r="B782" s="26"/>
      <c r="D782" s="8"/>
      <c r="E782" s="8"/>
      <c r="F782" s="198"/>
      <c r="G782" s="198"/>
      <c r="H782" s="198"/>
      <c r="I782" s="198"/>
      <c r="J782" s="198"/>
    </row>
    <row r="783" spans="2:10" s="15" customFormat="1" x14ac:dyDescent="0.25">
      <c r="B783" s="26"/>
      <c r="D783" s="8"/>
      <c r="E783" s="8"/>
      <c r="F783" s="198"/>
      <c r="G783" s="198"/>
      <c r="H783" s="198"/>
      <c r="I783" s="198"/>
      <c r="J783" s="198"/>
    </row>
    <row r="784" spans="2:10" s="15" customFormat="1" x14ac:dyDescent="0.25">
      <c r="B784" s="26"/>
      <c r="D784" s="8"/>
      <c r="E784" s="8"/>
      <c r="F784" s="198"/>
      <c r="G784" s="198"/>
      <c r="H784" s="198"/>
      <c r="I784" s="198"/>
      <c r="J784" s="198"/>
    </row>
    <row r="785" spans="2:10" s="15" customFormat="1" x14ac:dyDescent="0.25">
      <c r="B785" s="26"/>
      <c r="D785" s="8"/>
      <c r="E785" s="8"/>
      <c r="F785" s="198"/>
      <c r="G785" s="198"/>
      <c r="H785" s="198"/>
      <c r="I785" s="198"/>
      <c r="J785" s="198"/>
    </row>
    <row r="786" spans="2:10" s="15" customFormat="1" x14ac:dyDescent="0.25">
      <c r="B786" s="26"/>
      <c r="D786" s="8"/>
      <c r="E786" s="8"/>
      <c r="F786" s="198"/>
      <c r="G786" s="198"/>
      <c r="H786" s="198"/>
      <c r="I786" s="198"/>
      <c r="J786" s="198"/>
    </row>
    <row r="787" spans="2:10" s="15" customFormat="1" x14ac:dyDescent="0.25">
      <c r="B787" s="26"/>
      <c r="D787" s="8"/>
      <c r="E787" s="8"/>
      <c r="F787" s="198"/>
      <c r="G787" s="198"/>
      <c r="H787" s="198"/>
      <c r="I787" s="198"/>
      <c r="J787" s="198"/>
    </row>
    <row r="788" spans="2:10" s="15" customFormat="1" x14ac:dyDescent="0.25">
      <c r="B788" s="26"/>
      <c r="D788" s="8"/>
      <c r="E788" s="8"/>
      <c r="F788" s="198"/>
      <c r="G788" s="198"/>
      <c r="H788" s="198"/>
      <c r="I788" s="198"/>
      <c r="J788" s="198"/>
    </row>
    <row r="789" spans="2:10" s="15" customFormat="1" x14ac:dyDescent="0.25">
      <c r="B789" s="26"/>
      <c r="D789" s="8"/>
      <c r="E789" s="8"/>
      <c r="F789" s="198"/>
      <c r="G789" s="198"/>
      <c r="H789" s="198"/>
      <c r="I789" s="198"/>
      <c r="J789" s="198"/>
    </row>
    <row r="790" spans="2:10" s="15" customFormat="1" x14ac:dyDescent="0.25">
      <c r="B790" s="26"/>
      <c r="D790" s="8"/>
      <c r="E790" s="8"/>
      <c r="F790" s="198"/>
      <c r="G790" s="198"/>
      <c r="H790" s="198"/>
      <c r="I790" s="198"/>
      <c r="J790" s="198"/>
    </row>
    <row r="791" spans="2:10" s="15" customFormat="1" x14ac:dyDescent="0.25">
      <c r="B791" s="26"/>
      <c r="D791" s="8"/>
      <c r="E791" s="8"/>
      <c r="F791" s="198"/>
      <c r="G791" s="198"/>
      <c r="H791" s="198"/>
      <c r="I791" s="198"/>
      <c r="J791" s="198"/>
    </row>
    <row r="792" spans="2:10" s="15" customFormat="1" x14ac:dyDescent="0.25">
      <c r="B792" s="26"/>
      <c r="D792" s="8"/>
      <c r="E792" s="8"/>
      <c r="F792" s="198"/>
      <c r="G792" s="198"/>
      <c r="H792" s="198"/>
      <c r="I792" s="198"/>
      <c r="J792" s="198"/>
    </row>
    <row r="793" spans="2:10" s="15" customFormat="1" x14ac:dyDescent="0.25">
      <c r="B793" s="26"/>
      <c r="D793" s="8"/>
      <c r="E793" s="8"/>
      <c r="F793" s="198"/>
      <c r="G793" s="198"/>
      <c r="H793" s="198"/>
      <c r="I793" s="198"/>
      <c r="J793" s="198"/>
    </row>
    <row r="794" spans="2:10" s="15" customFormat="1" x14ac:dyDescent="0.25">
      <c r="B794" s="26"/>
      <c r="D794" s="8"/>
      <c r="E794" s="8"/>
      <c r="F794" s="198"/>
      <c r="G794" s="198"/>
      <c r="H794" s="198"/>
      <c r="I794" s="198"/>
      <c r="J794" s="198"/>
    </row>
    <row r="795" spans="2:10" s="15" customFormat="1" x14ac:dyDescent="0.25">
      <c r="B795" s="26"/>
      <c r="D795" s="8"/>
      <c r="E795" s="8"/>
      <c r="F795" s="198"/>
      <c r="G795" s="198"/>
      <c r="H795" s="198"/>
      <c r="I795" s="198"/>
      <c r="J795" s="198"/>
    </row>
    <row r="796" spans="2:10" s="15" customFormat="1" x14ac:dyDescent="0.25">
      <c r="B796" s="26"/>
      <c r="D796" s="8"/>
      <c r="E796" s="8"/>
      <c r="F796" s="198"/>
      <c r="G796" s="198"/>
      <c r="H796" s="198"/>
      <c r="I796" s="198"/>
      <c r="J796" s="198"/>
    </row>
    <row r="797" spans="2:10" s="15" customFormat="1" x14ac:dyDescent="0.25">
      <c r="B797" s="26"/>
      <c r="D797" s="8"/>
      <c r="E797" s="8"/>
      <c r="F797" s="198"/>
      <c r="G797" s="198"/>
      <c r="H797" s="198"/>
      <c r="I797" s="198"/>
      <c r="J797" s="198"/>
    </row>
    <row r="798" spans="2:10" s="15" customFormat="1" x14ac:dyDescent="0.25">
      <c r="B798" s="26"/>
      <c r="D798" s="8"/>
      <c r="E798" s="8"/>
      <c r="F798" s="198"/>
      <c r="G798" s="198"/>
      <c r="H798" s="198"/>
      <c r="I798" s="198"/>
      <c r="J798" s="198"/>
    </row>
    <row r="799" spans="2:10" s="15" customFormat="1" x14ac:dyDescent="0.25">
      <c r="B799" s="26"/>
      <c r="D799" s="8"/>
      <c r="E799" s="8"/>
      <c r="F799" s="198"/>
      <c r="G799" s="198"/>
      <c r="H799" s="198"/>
      <c r="I799" s="198"/>
      <c r="J799" s="198"/>
    </row>
    <row r="800" spans="2:10" s="15" customFormat="1" x14ac:dyDescent="0.25">
      <c r="B800" s="26"/>
      <c r="D800" s="8"/>
      <c r="E800" s="8"/>
      <c r="F800" s="198"/>
      <c r="G800" s="198"/>
      <c r="H800" s="198"/>
      <c r="I800" s="198"/>
      <c r="J800" s="198"/>
    </row>
    <row r="801" spans="2:10" s="15" customFormat="1" x14ac:dyDescent="0.25">
      <c r="B801" s="26"/>
      <c r="D801" s="8"/>
      <c r="E801" s="8"/>
      <c r="F801" s="198"/>
      <c r="G801" s="198"/>
      <c r="H801" s="198"/>
      <c r="I801" s="198"/>
      <c r="J801" s="198"/>
    </row>
    <row r="802" spans="2:10" s="15" customFormat="1" x14ac:dyDescent="0.25">
      <c r="B802" s="26"/>
      <c r="D802" s="8"/>
      <c r="E802" s="8"/>
      <c r="F802" s="198"/>
      <c r="G802" s="198"/>
      <c r="H802" s="198"/>
      <c r="I802" s="198"/>
      <c r="J802" s="198"/>
    </row>
    <row r="803" spans="2:10" s="15" customFormat="1" x14ac:dyDescent="0.25">
      <c r="B803" s="26"/>
      <c r="D803" s="8"/>
      <c r="E803" s="8"/>
      <c r="F803" s="198"/>
      <c r="G803" s="198"/>
      <c r="H803" s="198"/>
      <c r="I803" s="198"/>
      <c r="J803" s="198"/>
    </row>
    <row r="804" spans="2:10" s="15" customFormat="1" x14ac:dyDescent="0.25">
      <c r="B804" s="26"/>
      <c r="D804" s="8"/>
      <c r="E804" s="8"/>
      <c r="F804" s="198"/>
      <c r="G804" s="198"/>
      <c r="H804" s="198"/>
      <c r="I804" s="198"/>
      <c r="J804" s="198"/>
    </row>
    <row r="805" spans="2:10" s="15" customFormat="1" x14ac:dyDescent="0.25">
      <c r="B805" s="26"/>
      <c r="D805" s="8"/>
      <c r="E805" s="8"/>
      <c r="F805" s="198"/>
      <c r="G805" s="198"/>
      <c r="H805" s="198"/>
      <c r="I805" s="198"/>
      <c r="J805" s="198"/>
    </row>
    <row r="806" spans="2:10" s="15" customFormat="1" x14ac:dyDescent="0.25">
      <c r="B806" s="26"/>
      <c r="D806" s="8"/>
      <c r="E806" s="8"/>
      <c r="F806" s="198"/>
      <c r="G806" s="198"/>
      <c r="H806" s="198"/>
      <c r="I806" s="198"/>
      <c r="J806" s="198"/>
    </row>
    <row r="807" spans="2:10" s="15" customFormat="1" x14ac:dyDescent="0.25">
      <c r="B807" s="26"/>
      <c r="D807" s="8"/>
      <c r="E807" s="8"/>
      <c r="F807" s="198"/>
      <c r="G807" s="198"/>
      <c r="H807" s="198"/>
      <c r="I807" s="198"/>
      <c r="J807" s="198"/>
    </row>
    <row r="808" spans="2:10" s="15" customFormat="1" x14ac:dyDescent="0.25">
      <c r="B808" s="26"/>
      <c r="D808" s="8"/>
      <c r="E808" s="8"/>
      <c r="F808" s="198"/>
      <c r="G808" s="198"/>
      <c r="H808" s="198"/>
      <c r="I808" s="198"/>
      <c r="J808" s="198"/>
    </row>
    <row r="809" spans="2:10" s="15" customFormat="1" x14ac:dyDescent="0.25">
      <c r="B809" s="26"/>
      <c r="D809" s="8"/>
      <c r="E809" s="8"/>
      <c r="F809" s="198"/>
      <c r="G809" s="198"/>
      <c r="H809" s="198"/>
      <c r="I809" s="198"/>
      <c r="J809" s="198"/>
    </row>
    <row r="810" spans="2:10" s="15" customFormat="1" x14ac:dyDescent="0.25">
      <c r="B810" s="26"/>
      <c r="D810" s="8"/>
      <c r="E810" s="8"/>
      <c r="F810" s="198"/>
      <c r="G810" s="198"/>
      <c r="H810" s="198"/>
      <c r="I810" s="198"/>
      <c r="J810" s="198"/>
    </row>
    <row r="811" spans="2:10" s="15" customFormat="1" x14ac:dyDescent="0.25">
      <c r="B811" s="26"/>
      <c r="D811" s="8"/>
      <c r="E811" s="8"/>
      <c r="F811" s="198"/>
      <c r="G811" s="198"/>
      <c r="H811" s="198"/>
      <c r="I811" s="198"/>
      <c r="J811" s="198"/>
    </row>
    <row r="812" spans="2:10" s="15" customFormat="1" x14ac:dyDescent="0.25">
      <c r="B812" s="26"/>
      <c r="D812" s="8"/>
      <c r="E812" s="8"/>
      <c r="F812" s="198"/>
      <c r="G812" s="198"/>
      <c r="H812" s="198"/>
      <c r="I812" s="198"/>
      <c r="J812" s="198"/>
    </row>
    <row r="813" spans="2:10" s="15" customFormat="1" x14ac:dyDescent="0.25">
      <c r="B813" s="26"/>
      <c r="D813" s="8"/>
      <c r="E813" s="8"/>
      <c r="F813" s="198"/>
      <c r="G813" s="198"/>
      <c r="H813" s="198"/>
      <c r="I813" s="198"/>
      <c r="J813" s="198"/>
    </row>
    <row r="814" spans="2:10" s="15" customFormat="1" x14ac:dyDescent="0.25">
      <c r="B814" s="26"/>
      <c r="D814" s="8"/>
      <c r="E814" s="8"/>
      <c r="F814" s="198"/>
      <c r="G814" s="198"/>
      <c r="H814" s="198"/>
      <c r="I814" s="198"/>
      <c r="J814" s="198"/>
    </row>
    <row r="815" spans="2:10" s="15" customFormat="1" x14ac:dyDescent="0.25">
      <c r="B815" s="26"/>
      <c r="D815" s="8"/>
      <c r="E815" s="8"/>
      <c r="F815" s="198"/>
      <c r="G815" s="198"/>
      <c r="H815" s="198"/>
      <c r="I815" s="198"/>
      <c r="J815" s="198"/>
    </row>
    <row r="816" spans="2:10" s="15" customFormat="1" x14ac:dyDescent="0.25">
      <c r="B816" s="26"/>
      <c r="D816" s="8"/>
      <c r="E816" s="8"/>
      <c r="F816" s="198"/>
      <c r="G816" s="198"/>
      <c r="H816" s="198"/>
      <c r="I816" s="198"/>
      <c r="J816" s="198"/>
    </row>
    <row r="817" spans="2:10" s="15" customFormat="1" x14ac:dyDescent="0.25">
      <c r="B817" s="26"/>
      <c r="D817" s="8"/>
      <c r="E817" s="8"/>
      <c r="F817" s="198"/>
      <c r="G817" s="198"/>
      <c r="H817" s="198"/>
      <c r="I817" s="198"/>
      <c r="J817" s="198"/>
    </row>
    <row r="818" spans="2:10" s="15" customFormat="1" x14ac:dyDescent="0.25">
      <c r="B818" s="26"/>
      <c r="D818" s="8"/>
      <c r="E818" s="8"/>
      <c r="F818" s="198"/>
      <c r="G818" s="198"/>
      <c r="H818" s="198"/>
      <c r="I818" s="198"/>
      <c r="J818" s="198"/>
    </row>
    <row r="819" spans="2:10" s="15" customFormat="1" x14ac:dyDescent="0.25">
      <c r="B819" s="26"/>
      <c r="D819" s="8"/>
      <c r="E819" s="8"/>
      <c r="F819" s="198"/>
      <c r="G819" s="198"/>
      <c r="H819" s="198"/>
      <c r="I819" s="198"/>
      <c r="J819" s="198"/>
    </row>
    <row r="820" spans="2:10" s="15" customFormat="1" x14ac:dyDescent="0.25">
      <c r="B820" s="26"/>
      <c r="D820" s="8"/>
      <c r="E820" s="8"/>
      <c r="F820" s="198"/>
      <c r="G820" s="198"/>
      <c r="H820" s="198"/>
      <c r="I820" s="198"/>
      <c r="J820" s="198"/>
    </row>
    <row r="821" spans="2:10" s="15" customFormat="1" x14ac:dyDescent="0.25">
      <c r="B821" s="26"/>
      <c r="D821" s="8"/>
      <c r="E821" s="8"/>
      <c r="F821" s="198"/>
      <c r="G821" s="198"/>
      <c r="H821" s="198"/>
      <c r="I821" s="198"/>
      <c r="J821" s="198"/>
    </row>
    <row r="822" spans="2:10" s="15" customFormat="1" x14ac:dyDescent="0.25">
      <c r="B822" s="26"/>
      <c r="D822" s="8"/>
      <c r="E822" s="8"/>
      <c r="F822" s="198"/>
      <c r="G822" s="198"/>
      <c r="H822" s="198"/>
      <c r="I822" s="198"/>
      <c r="J822" s="198"/>
    </row>
    <row r="823" spans="2:10" s="15" customFormat="1" x14ac:dyDescent="0.25">
      <c r="B823" s="26"/>
      <c r="D823" s="8"/>
      <c r="E823" s="8"/>
      <c r="F823" s="198"/>
      <c r="G823" s="198"/>
      <c r="H823" s="198"/>
      <c r="I823" s="198"/>
      <c r="J823" s="198"/>
    </row>
    <row r="824" spans="2:10" s="15" customFormat="1" x14ac:dyDescent="0.25">
      <c r="B824" s="26"/>
      <c r="D824" s="8"/>
      <c r="E824" s="8"/>
      <c r="F824" s="198"/>
      <c r="G824" s="198"/>
      <c r="H824" s="198"/>
      <c r="I824" s="198"/>
      <c r="J824" s="198"/>
    </row>
    <row r="825" spans="2:10" s="15" customFormat="1" x14ac:dyDescent="0.25">
      <c r="B825" s="26"/>
      <c r="D825" s="8"/>
      <c r="E825" s="8"/>
      <c r="F825" s="198"/>
      <c r="G825" s="198"/>
      <c r="H825" s="198"/>
      <c r="I825" s="198"/>
      <c r="J825" s="198"/>
    </row>
    <row r="826" spans="2:10" s="15" customFormat="1" x14ac:dyDescent="0.25">
      <c r="B826" s="26"/>
      <c r="D826" s="8"/>
      <c r="E826" s="8"/>
      <c r="F826" s="198"/>
      <c r="G826" s="198"/>
      <c r="H826" s="198"/>
      <c r="I826" s="198"/>
      <c r="J826" s="198"/>
    </row>
    <row r="827" spans="2:10" s="15" customFormat="1" x14ac:dyDescent="0.25">
      <c r="B827" s="26"/>
      <c r="D827" s="8"/>
      <c r="E827" s="8"/>
      <c r="F827" s="198"/>
      <c r="G827" s="198"/>
      <c r="H827" s="198"/>
      <c r="I827" s="198"/>
      <c r="J827" s="198"/>
    </row>
    <row r="828" spans="2:10" s="15" customFormat="1" x14ac:dyDescent="0.25">
      <c r="B828" s="26"/>
      <c r="D828" s="8"/>
      <c r="E828" s="8"/>
      <c r="F828" s="198"/>
      <c r="G828" s="198"/>
      <c r="H828" s="198"/>
      <c r="I828" s="198"/>
      <c r="J828" s="198"/>
    </row>
    <row r="829" spans="2:10" s="15" customFormat="1" x14ac:dyDescent="0.25">
      <c r="B829" s="26"/>
      <c r="D829" s="8"/>
      <c r="E829" s="8"/>
      <c r="F829" s="198"/>
      <c r="G829" s="198"/>
      <c r="H829" s="198"/>
      <c r="I829" s="198"/>
      <c r="J829" s="198"/>
    </row>
    <row r="830" spans="2:10" s="15" customFormat="1" x14ac:dyDescent="0.25">
      <c r="B830" s="26"/>
      <c r="D830" s="8"/>
      <c r="E830" s="8"/>
      <c r="F830" s="198"/>
      <c r="G830" s="198"/>
      <c r="H830" s="198"/>
      <c r="I830" s="198"/>
      <c r="J830" s="198"/>
    </row>
    <row r="831" spans="2:10" s="15" customFormat="1" x14ac:dyDescent="0.25">
      <c r="B831" s="26"/>
      <c r="D831" s="8"/>
      <c r="E831" s="8"/>
      <c r="F831" s="198"/>
      <c r="G831" s="198"/>
      <c r="H831" s="198"/>
      <c r="I831" s="198"/>
      <c r="J831" s="198"/>
    </row>
    <row r="832" spans="2:10" s="15" customFormat="1" x14ac:dyDescent="0.25">
      <c r="B832" s="26"/>
      <c r="D832" s="8"/>
      <c r="E832" s="8"/>
      <c r="F832" s="198"/>
      <c r="G832" s="198"/>
      <c r="H832" s="198"/>
      <c r="I832" s="198"/>
      <c r="J832" s="198"/>
    </row>
    <row r="833" spans="2:10" s="15" customFormat="1" x14ac:dyDescent="0.25">
      <c r="B833" s="26"/>
      <c r="D833" s="8"/>
      <c r="E833" s="8"/>
      <c r="F833" s="198"/>
      <c r="G833" s="198"/>
      <c r="H833" s="198"/>
      <c r="I833" s="198"/>
      <c r="J833" s="198"/>
    </row>
    <row r="834" spans="2:10" s="15" customFormat="1" x14ac:dyDescent="0.25">
      <c r="B834" s="26"/>
      <c r="D834" s="8"/>
      <c r="E834" s="8"/>
      <c r="F834" s="198"/>
      <c r="G834" s="198"/>
      <c r="H834" s="198"/>
      <c r="I834" s="198"/>
      <c r="J834" s="198"/>
    </row>
    <row r="835" spans="2:10" s="15" customFormat="1" x14ac:dyDescent="0.25">
      <c r="B835" s="26"/>
      <c r="D835" s="8"/>
      <c r="E835" s="8"/>
      <c r="F835" s="198"/>
      <c r="G835" s="198"/>
      <c r="H835" s="198"/>
      <c r="I835" s="198"/>
      <c r="J835" s="198"/>
    </row>
    <row r="836" spans="2:10" s="15" customFormat="1" x14ac:dyDescent="0.25">
      <c r="B836" s="26"/>
      <c r="D836" s="8"/>
      <c r="E836" s="8"/>
      <c r="F836" s="198"/>
      <c r="G836" s="198"/>
      <c r="H836" s="198"/>
      <c r="I836" s="198"/>
      <c r="J836" s="198"/>
    </row>
    <row r="837" spans="2:10" s="15" customFormat="1" x14ac:dyDescent="0.25">
      <c r="B837" s="26"/>
      <c r="D837" s="8"/>
      <c r="E837" s="8"/>
      <c r="F837" s="198"/>
      <c r="G837" s="198"/>
      <c r="H837" s="198"/>
      <c r="I837" s="198"/>
      <c r="J837" s="198"/>
    </row>
    <row r="838" spans="2:10" s="15" customFormat="1" x14ac:dyDescent="0.25">
      <c r="B838" s="26"/>
      <c r="D838" s="8"/>
      <c r="E838" s="8"/>
      <c r="F838" s="198"/>
      <c r="G838" s="198"/>
      <c r="H838" s="198"/>
      <c r="I838" s="198"/>
      <c r="J838" s="198"/>
    </row>
    <row r="839" spans="2:10" s="15" customFormat="1" x14ac:dyDescent="0.25">
      <c r="B839" s="26"/>
      <c r="D839" s="8"/>
      <c r="E839" s="8"/>
      <c r="F839" s="198"/>
      <c r="G839" s="198"/>
      <c r="H839" s="198"/>
      <c r="I839" s="198"/>
      <c r="J839" s="198"/>
    </row>
    <row r="840" spans="2:10" s="15" customFormat="1" x14ac:dyDescent="0.25">
      <c r="B840" s="26"/>
      <c r="D840" s="8"/>
      <c r="E840" s="8"/>
      <c r="F840" s="198"/>
      <c r="G840" s="198"/>
      <c r="H840" s="198"/>
      <c r="I840" s="198"/>
      <c r="J840" s="198"/>
    </row>
    <row r="841" spans="2:10" s="15" customFormat="1" x14ac:dyDescent="0.25">
      <c r="B841" s="26"/>
      <c r="D841" s="8"/>
      <c r="E841" s="8"/>
      <c r="F841" s="198"/>
      <c r="G841" s="198"/>
      <c r="H841" s="198"/>
      <c r="I841" s="198"/>
      <c r="J841" s="198"/>
    </row>
    <row r="842" spans="2:10" s="15" customFormat="1" x14ac:dyDescent="0.25">
      <c r="B842" s="26"/>
      <c r="D842" s="8"/>
      <c r="E842" s="8"/>
      <c r="F842" s="198"/>
      <c r="G842" s="198"/>
      <c r="H842" s="198"/>
      <c r="I842" s="198"/>
      <c r="J842" s="198"/>
    </row>
    <row r="843" spans="2:10" s="15" customFormat="1" x14ac:dyDescent="0.25">
      <c r="B843" s="26"/>
      <c r="D843" s="8"/>
      <c r="E843" s="8"/>
      <c r="F843" s="198"/>
      <c r="G843" s="198"/>
      <c r="H843" s="198"/>
      <c r="I843" s="198"/>
      <c r="J843" s="198"/>
    </row>
    <row r="844" spans="2:10" s="15" customFormat="1" x14ac:dyDescent="0.25">
      <c r="B844" s="26"/>
      <c r="D844" s="8"/>
      <c r="E844" s="8"/>
      <c r="F844" s="198"/>
      <c r="G844" s="198"/>
      <c r="H844" s="198"/>
      <c r="I844" s="198"/>
      <c r="J844" s="198"/>
    </row>
    <row r="845" spans="2:10" s="15" customFormat="1" x14ac:dyDescent="0.25">
      <c r="B845" s="26"/>
      <c r="D845" s="8"/>
      <c r="E845" s="8"/>
      <c r="F845" s="198"/>
      <c r="G845" s="198"/>
      <c r="H845" s="198"/>
      <c r="I845" s="198"/>
      <c r="J845" s="198"/>
    </row>
    <row r="846" spans="2:10" s="15" customFormat="1" x14ac:dyDescent="0.25">
      <c r="B846" s="26"/>
      <c r="D846" s="8"/>
      <c r="E846" s="8"/>
      <c r="F846" s="198"/>
      <c r="G846" s="198"/>
      <c r="H846" s="198"/>
      <c r="I846" s="198"/>
      <c r="J846" s="198"/>
    </row>
    <row r="847" spans="2:10" s="15" customFormat="1" x14ac:dyDescent="0.25">
      <c r="B847" s="26"/>
      <c r="D847" s="8"/>
      <c r="E847" s="8"/>
      <c r="F847" s="198"/>
      <c r="G847" s="198"/>
      <c r="H847" s="198"/>
      <c r="I847" s="198"/>
      <c r="J847" s="198"/>
    </row>
    <row r="848" spans="2:10" s="15" customFormat="1" x14ac:dyDescent="0.25">
      <c r="B848" s="26"/>
      <c r="D848" s="8"/>
      <c r="E848" s="8"/>
      <c r="F848" s="198"/>
      <c r="G848" s="198"/>
      <c r="H848" s="198"/>
      <c r="I848" s="198"/>
      <c r="J848" s="198"/>
    </row>
    <row r="849" spans="2:10" s="15" customFormat="1" x14ac:dyDescent="0.25">
      <c r="B849" s="26"/>
      <c r="D849" s="8"/>
      <c r="E849" s="8"/>
      <c r="F849" s="198"/>
      <c r="G849" s="198"/>
      <c r="H849" s="198"/>
      <c r="I849" s="198"/>
      <c r="J849" s="198"/>
    </row>
    <row r="850" spans="2:10" s="15" customFormat="1" x14ac:dyDescent="0.25">
      <c r="B850" s="26"/>
      <c r="D850" s="8"/>
      <c r="E850" s="8"/>
      <c r="F850" s="198"/>
      <c r="G850" s="198"/>
      <c r="H850" s="198"/>
      <c r="I850" s="198"/>
      <c r="J850" s="198"/>
    </row>
    <row r="851" spans="2:10" s="15" customFormat="1" x14ac:dyDescent="0.25">
      <c r="B851" s="26"/>
      <c r="D851" s="8"/>
      <c r="E851" s="8"/>
      <c r="F851" s="198"/>
      <c r="G851" s="198"/>
      <c r="H851" s="198"/>
      <c r="I851" s="198"/>
      <c r="J851" s="198"/>
    </row>
    <row r="852" spans="2:10" s="15" customFormat="1" x14ac:dyDescent="0.25">
      <c r="B852" s="26"/>
      <c r="D852" s="8"/>
      <c r="E852" s="8"/>
      <c r="F852" s="198"/>
      <c r="G852" s="198"/>
      <c r="H852" s="198"/>
      <c r="I852" s="198"/>
      <c r="J852" s="198"/>
    </row>
    <row r="853" spans="2:10" s="15" customFormat="1" x14ac:dyDescent="0.25">
      <c r="B853" s="26"/>
      <c r="D853" s="8"/>
      <c r="E853" s="8"/>
      <c r="F853" s="198"/>
      <c r="G853" s="198"/>
      <c r="H853" s="198"/>
      <c r="I853" s="198"/>
      <c r="J853" s="198"/>
    </row>
    <row r="854" spans="2:10" s="15" customFormat="1" x14ac:dyDescent="0.25">
      <c r="B854" s="26"/>
      <c r="D854" s="8"/>
      <c r="E854" s="8"/>
      <c r="F854" s="198"/>
      <c r="G854" s="198"/>
      <c r="H854" s="198"/>
      <c r="I854" s="198"/>
      <c r="J854" s="198"/>
    </row>
    <row r="855" spans="2:10" s="15" customFormat="1" x14ac:dyDescent="0.25">
      <c r="B855" s="26"/>
      <c r="D855" s="8"/>
      <c r="E855" s="8"/>
      <c r="F855" s="198"/>
      <c r="G855" s="198"/>
      <c r="H855" s="198"/>
      <c r="I855" s="198"/>
      <c r="J855" s="198"/>
    </row>
    <row r="856" spans="2:10" s="15" customFormat="1" x14ac:dyDescent="0.25">
      <c r="B856" s="26"/>
      <c r="D856" s="8"/>
      <c r="E856" s="8"/>
      <c r="F856" s="198"/>
      <c r="G856" s="198"/>
      <c r="H856" s="198"/>
      <c r="I856" s="198"/>
      <c r="J856" s="198"/>
    </row>
    <row r="857" spans="2:10" s="15" customFormat="1" x14ac:dyDescent="0.25">
      <c r="B857" s="26"/>
      <c r="D857" s="8"/>
      <c r="E857" s="8"/>
      <c r="F857" s="198"/>
      <c r="G857" s="198"/>
      <c r="H857" s="198"/>
      <c r="I857" s="198"/>
      <c r="J857" s="198"/>
    </row>
    <row r="858" spans="2:10" s="15" customFormat="1" x14ac:dyDescent="0.25">
      <c r="B858" s="26"/>
      <c r="D858" s="8"/>
      <c r="E858" s="8"/>
      <c r="F858" s="198"/>
      <c r="G858" s="198"/>
      <c r="H858" s="198"/>
      <c r="I858" s="198"/>
      <c r="J858" s="198"/>
    </row>
    <row r="859" spans="2:10" s="15" customFormat="1" x14ac:dyDescent="0.25">
      <c r="B859" s="26"/>
      <c r="D859" s="8"/>
      <c r="E859" s="8"/>
      <c r="F859" s="198"/>
      <c r="G859" s="198"/>
      <c r="H859" s="198"/>
      <c r="I859" s="198"/>
      <c r="J859" s="198"/>
    </row>
    <row r="860" spans="2:10" s="15" customFormat="1" x14ac:dyDescent="0.25">
      <c r="B860" s="26"/>
      <c r="D860" s="8"/>
      <c r="E860" s="8"/>
      <c r="F860" s="198"/>
      <c r="G860" s="198"/>
      <c r="H860" s="198"/>
      <c r="I860" s="198"/>
      <c r="J860" s="198"/>
    </row>
    <row r="861" spans="2:10" s="15" customFormat="1" x14ac:dyDescent="0.25">
      <c r="B861" s="26"/>
      <c r="D861" s="8"/>
      <c r="E861" s="8"/>
      <c r="F861" s="198"/>
      <c r="G861" s="198"/>
      <c r="H861" s="198"/>
      <c r="I861" s="198"/>
      <c r="J861" s="198"/>
    </row>
    <row r="862" spans="2:10" s="15" customFormat="1" x14ac:dyDescent="0.25">
      <c r="B862" s="26"/>
      <c r="D862" s="8"/>
      <c r="E862" s="8"/>
      <c r="F862" s="198"/>
      <c r="G862" s="198"/>
      <c r="H862" s="198"/>
      <c r="I862" s="198"/>
      <c r="J862" s="198"/>
    </row>
    <row r="863" spans="2:10" s="15" customFormat="1" x14ac:dyDescent="0.25">
      <c r="B863" s="26"/>
      <c r="D863" s="8"/>
      <c r="E863" s="8"/>
      <c r="F863" s="198"/>
      <c r="G863" s="198"/>
      <c r="H863" s="198"/>
      <c r="I863" s="198"/>
      <c r="J863" s="198"/>
    </row>
    <row r="864" spans="2:10" s="15" customFormat="1" x14ac:dyDescent="0.25">
      <c r="B864" s="26"/>
      <c r="D864" s="8"/>
      <c r="E864" s="8"/>
      <c r="F864" s="198"/>
      <c r="G864" s="198"/>
      <c r="H864" s="198"/>
      <c r="I864" s="198"/>
      <c r="J864" s="198"/>
    </row>
    <row r="865" spans="2:10" s="15" customFormat="1" x14ac:dyDescent="0.25">
      <c r="B865" s="26"/>
      <c r="D865" s="8"/>
      <c r="E865" s="8"/>
      <c r="F865" s="198"/>
      <c r="G865" s="198"/>
      <c r="H865" s="198"/>
      <c r="I865" s="198"/>
      <c r="J865" s="198"/>
    </row>
    <row r="866" spans="2:10" s="15" customFormat="1" x14ac:dyDescent="0.25">
      <c r="B866" s="26"/>
      <c r="D866" s="8"/>
      <c r="E866" s="8"/>
      <c r="F866" s="198"/>
      <c r="G866" s="198"/>
      <c r="H866" s="198"/>
      <c r="I866" s="198"/>
      <c r="J866" s="198"/>
    </row>
    <row r="867" spans="2:10" s="15" customFormat="1" x14ac:dyDescent="0.25">
      <c r="B867" s="26"/>
      <c r="D867" s="8"/>
      <c r="E867" s="8"/>
      <c r="F867" s="198"/>
      <c r="G867" s="198"/>
      <c r="H867" s="198"/>
      <c r="I867" s="198"/>
      <c r="J867" s="198"/>
    </row>
    <row r="868" spans="2:10" s="15" customFormat="1" x14ac:dyDescent="0.25">
      <c r="B868" s="26"/>
      <c r="D868" s="8"/>
      <c r="E868" s="8"/>
      <c r="F868" s="198"/>
      <c r="G868" s="198"/>
      <c r="H868" s="198"/>
      <c r="I868" s="198"/>
      <c r="J868" s="198"/>
    </row>
    <row r="869" spans="2:10" s="15" customFormat="1" x14ac:dyDescent="0.25">
      <c r="B869" s="26"/>
      <c r="D869" s="8"/>
      <c r="E869" s="8"/>
      <c r="F869" s="198"/>
      <c r="G869" s="198"/>
      <c r="H869" s="198"/>
      <c r="I869" s="198"/>
      <c r="J869" s="198"/>
    </row>
    <row r="870" spans="2:10" s="15" customFormat="1" x14ac:dyDescent="0.25">
      <c r="B870" s="26"/>
      <c r="D870" s="8"/>
      <c r="E870" s="8"/>
      <c r="F870" s="198"/>
      <c r="G870" s="198"/>
      <c r="H870" s="198"/>
      <c r="I870" s="198"/>
      <c r="J870" s="198"/>
    </row>
    <row r="871" spans="2:10" s="15" customFormat="1" x14ac:dyDescent="0.25">
      <c r="B871" s="26"/>
      <c r="D871" s="8"/>
      <c r="E871" s="8"/>
      <c r="F871" s="198"/>
      <c r="G871" s="198"/>
      <c r="H871" s="198"/>
      <c r="I871" s="198"/>
      <c r="J871" s="198"/>
    </row>
    <row r="872" spans="2:10" s="15" customFormat="1" x14ac:dyDescent="0.25">
      <c r="B872" s="26"/>
      <c r="D872" s="8"/>
      <c r="E872" s="8"/>
      <c r="F872" s="198"/>
      <c r="G872" s="198"/>
      <c r="H872" s="198"/>
      <c r="I872" s="198"/>
      <c r="J872" s="198"/>
    </row>
    <row r="873" spans="2:10" s="15" customFormat="1" x14ac:dyDescent="0.25">
      <c r="B873" s="26"/>
      <c r="D873" s="8"/>
      <c r="E873" s="8"/>
      <c r="F873" s="198"/>
      <c r="G873" s="198"/>
      <c r="H873" s="198"/>
      <c r="I873" s="198"/>
      <c r="J873" s="198"/>
    </row>
    <row r="874" spans="2:10" s="15" customFormat="1" x14ac:dyDescent="0.25">
      <c r="B874" s="26"/>
      <c r="D874" s="8"/>
      <c r="E874" s="8"/>
      <c r="F874" s="198"/>
      <c r="G874" s="198"/>
      <c r="H874" s="198"/>
      <c r="I874" s="198"/>
      <c r="J874" s="198"/>
    </row>
    <row r="875" spans="2:10" s="15" customFormat="1" x14ac:dyDescent="0.25">
      <c r="B875" s="26"/>
      <c r="D875" s="8"/>
      <c r="E875" s="8"/>
      <c r="F875" s="198"/>
      <c r="G875" s="198"/>
      <c r="H875" s="198"/>
      <c r="I875" s="198"/>
      <c r="J875" s="198"/>
    </row>
    <row r="876" spans="2:10" s="15" customFormat="1" x14ac:dyDescent="0.25">
      <c r="B876" s="26"/>
      <c r="D876" s="8"/>
      <c r="E876" s="8"/>
      <c r="F876" s="198"/>
      <c r="G876" s="198"/>
      <c r="H876" s="198"/>
      <c r="I876" s="198"/>
      <c r="J876" s="198"/>
    </row>
    <row r="877" spans="2:10" s="15" customFormat="1" x14ac:dyDescent="0.25">
      <c r="B877" s="26"/>
      <c r="D877" s="8"/>
      <c r="E877" s="8"/>
      <c r="F877" s="198"/>
      <c r="G877" s="198"/>
      <c r="H877" s="198"/>
      <c r="I877" s="198"/>
      <c r="J877" s="198"/>
    </row>
    <row r="878" spans="2:10" s="15" customFormat="1" x14ac:dyDescent="0.25">
      <c r="B878" s="26"/>
      <c r="D878" s="8"/>
      <c r="E878" s="8"/>
      <c r="F878" s="198"/>
      <c r="G878" s="198"/>
      <c r="H878" s="198"/>
      <c r="I878" s="198"/>
      <c r="J878" s="198"/>
    </row>
    <row r="879" spans="2:10" s="15" customFormat="1" x14ac:dyDescent="0.25">
      <c r="B879" s="26"/>
      <c r="D879" s="8"/>
      <c r="E879" s="8"/>
      <c r="F879" s="198"/>
      <c r="G879" s="198"/>
      <c r="H879" s="198"/>
      <c r="I879" s="198"/>
      <c r="J879" s="198"/>
    </row>
    <row r="880" spans="2:10" s="15" customFormat="1" x14ac:dyDescent="0.25">
      <c r="B880" s="26"/>
      <c r="D880" s="8"/>
      <c r="E880" s="8"/>
      <c r="F880" s="198"/>
      <c r="G880" s="198"/>
      <c r="H880" s="198"/>
      <c r="I880" s="198"/>
      <c r="J880" s="198"/>
    </row>
    <row r="881" spans="2:10" s="15" customFormat="1" x14ac:dyDescent="0.25">
      <c r="B881" s="26"/>
      <c r="D881" s="8"/>
      <c r="E881" s="8"/>
      <c r="F881" s="198"/>
      <c r="G881" s="198"/>
      <c r="H881" s="198"/>
      <c r="I881" s="198"/>
      <c r="J881" s="198"/>
    </row>
    <row r="882" spans="2:10" s="15" customFormat="1" x14ac:dyDescent="0.25">
      <c r="B882" s="26"/>
      <c r="D882" s="8"/>
      <c r="E882" s="8"/>
      <c r="F882" s="198"/>
      <c r="G882" s="198"/>
      <c r="H882" s="198"/>
      <c r="I882" s="198"/>
      <c r="J882" s="198"/>
    </row>
    <row r="883" spans="2:10" s="15" customFormat="1" x14ac:dyDescent="0.25">
      <c r="B883" s="26"/>
      <c r="D883" s="8"/>
      <c r="E883" s="8"/>
      <c r="F883" s="198"/>
      <c r="G883" s="198"/>
      <c r="H883" s="198"/>
      <c r="I883" s="198"/>
      <c r="J883" s="198"/>
    </row>
    <row r="884" spans="2:10" s="15" customFormat="1" x14ac:dyDescent="0.25">
      <c r="B884" s="26"/>
      <c r="D884" s="8"/>
      <c r="E884" s="8"/>
      <c r="F884" s="198"/>
      <c r="G884" s="198"/>
      <c r="H884" s="198"/>
      <c r="I884" s="198"/>
      <c r="J884" s="198"/>
    </row>
    <row r="885" spans="2:10" s="15" customFormat="1" x14ac:dyDescent="0.25">
      <c r="B885" s="26"/>
      <c r="D885" s="8"/>
      <c r="E885" s="8"/>
      <c r="F885" s="198"/>
      <c r="G885" s="198"/>
      <c r="H885" s="198"/>
      <c r="I885" s="198"/>
      <c r="J885" s="198"/>
    </row>
    <row r="886" spans="2:10" s="15" customFormat="1" x14ac:dyDescent="0.25">
      <c r="B886" s="26"/>
      <c r="D886" s="8"/>
      <c r="E886" s="8"/>
      <c r="F886" s="198"/>
      <c r="G886" s="198"/>
      <c r="H886" s="198"/>
      <c r="I886" s="198"/>
      <c r="J886" s="198"/>
    </row>
    <row r="887" spans="2:10" s="15" customFormat="1" x14ac:dyDescent="0.25">
      <c r="B887" s="26"/>
      <c r="D887" s="8"/>
      <c r="E887" s="8"/>
      <c r="F887" s="198"/>
      <c r="G887" s="198"/>
      <c r="H887" s="198"/>
      <c r="I887" s="198"/>
      <c r="J887" s="198"/>
    </row>
    <row r="888" spans="2:10" s="15" customFormat="1" x14ac:dyDescent="0.25">
      <c r="B888" s="26"/>
      <c r="D888" s="8"/>
      <c r="E888" s="8"/>
      <c r="F888" s="198"/>
      <c r="G888" s="198"/>
      <c r="H888" s="198"/>
      <c r="I888" s="198"/>
      <c r="J888" s="198"/>
    </row>
    <row r="889" spans="2:10" s="15" customFormat="1" x14ac:dyDescent="0.25">
      <c r="B889" s="26"/>
      <c r="D889" s="8"/>
      <c r="E889" s="8"/>
      <c r="F889" s="198"/>
      <c r="G889" s="198"/>
      <c r="H889" s="198"/>
      <c r="I889" s="198"/>
      <c r="J889" s="198"/>
    </row>
    <row r="890" spans="2:10" s="15" customFormat="1" x14ac:dyDescent="0.25">
      <c r="B890" s="26"/>
      <c r="D890" s="8"/>
      <c r="E890" s="8"/>
      <c r="F890" s="198"/>
      <c r="G890" s="198"/>
      <c r="H890" s="198"/>
      <c r="I890" s="198"/>
      <c r="J890" s="198"/>
    </row>
    <row r="891" spans="2:10" s="15" customFormat="1" x14ac:dyDescent="0.25">
      <c r="B891" s="26"/>
      <c r="D891" s="8"/>
      <c r="E891" s="8"/>
      <c r="F891" s="198"/>
      <c r="G891" s="198"/>
      <c r="H891" s="198"/>
      <c r="I891" s="198"/>
      <c r="J891" s="198"/>
    </row>
    <row r="892" spans="2:10" s="15" customFormat="1" x14ac:dyDescent="0.25">
      <c r="B892" s="26"/>
      <c r="D892" s="8"/>
      <c r="E892" s="8"/>
      <c r="F892" s="198"/>
      <c r="G892" s="198"/>
      <c r="H892" s="198"/>
      <c r="I892" s="198"/>
      <c r="J892" s="198"/>
    </row>
    <row r="893" spans="2:10" s="15" customFormat="1" x14ac:dyDescent="0.25">
      <c r="B893" s="26"/>
      <c r="D893" s="8"/>
      <c r="E893" s="8"/>
      <c r="F893" s="198"/>
      <c r="G893" s="198"/>
      <c r="H893" s="198"/>
      <c r="I893" s="198"/>
      <c r="J893" s="198"/>
    </row>
    <row r="894" spans="2:10" s="15" customFormat="1" x14ac:dyDescent="0.25">
      <c r="B894" s="26"/>
      <c r="D894" s="8"/>
      <c r="E894" s="8"/>
      <c r="F894" s="198"/>
      <c r="G894" s="198"/>
      <c r="H894" s="198"/>
      <c r="I894" s="198"/>
      <c r="J894" s="198"/>
    </row>
    <row r="895" spans="2:10" s="15" customFormat="1" x14ac:dyDescent="0.25">
      <c r="B895" s="26"/>
      <c r="D895" s="8"/>
      <c r="E895" s="8"/>
      <c r="F895" s="198"/>
      <c r="G895" s="198"/>
      <c r="H895" s="198"/>
      <c r="I895" s="198"/>
      <c r="J895" s="198"/>
    </row>
    <row r="896" spans="2:10" s="15" customFormat="1" x14ac:dyDescent="0.25">
      <c r="B896" s="26"/>
      <c r="D896" s="8"/>
      <c r="E896" s="8"/>
      <c r="F896" s="198"/>
      <c r="G896" s="198"/>
      <c r="H896" s="198"/>
      <c r="I896" s="198"/>
      <c r="J896" s="198"/>
    </row>
    <row r="897" spans="2:10" s="15" customFormat="1" x14ac:dyDescent="0.25">
      <c r="B897" s="26"/>
      <c r="D897" s="8"/>
      <c r="E897" s="8"/>
      <c r="F897" s="198"/>
      <c r="G897" s="198"/>
      <c r="H897" s="198"/>
      <c r="I897" s="198"/>
      <c r="J897" s="198"/>
    </row>
    <row r="898" spans="2:10" s="15" customFormat="1" x14ac:dyDescent="0.25">
      <c r="B898" s="26"/>
      <c r="D898" s="8"/>
      <c r="E898" s="8"/>
      <c r="F898" s="198"/>
      <c r="G898" s="198"/>
      <c r="H898" s="198"/>
      <c r="I898" s="198"/>
      <c r="J898" s="198"/>
    </row>
    <row r="899" spans="2:10" s="15" customFormat="1" x14ac:dyDescent="0.25">
      <c r="B899" s="26"/>
      <c r="D899" s="8"/>
      <c r="E899" s="8"/>
      <c r="F899" s="198"/>
      <c r="G899" s="198"/>
      <c r="H899" s="198"/>
      <c r="I899" s="198"/>
      <c r="J899" s="198"/>
    </row>
    <row r="900" spans="2:10" s="15" customFormat="1" x14ac:dyDescent="0.25">
      <c r="B900" s="26"/>
      <c r="D900" s="8"/>
      <c r="E900" s="8"/>
      <c r="F900" s="198"/>
      <c r="G900" s="198"/>
      <c r="H900" s="198"/>
      <c r="I900" s="198"/>
      <c r="J900" s="198"/>
    </row>
    <row r="901" spans="2:10" s="15" customFormat="1" x14ac:dyDescent="0.25">
      <c r="B901" s="26"/>
      <c r="D901" s="8"/>
      <c r="E901" s="8"/>
      <c r="F901" s="198"/>
      <c r="G901" s="198"/>
      <c r="H901" s="198"/>
      <c r="I901" s="198"/>
      <c r="J901" s="198"/>
    </row>
    <row r="902" spans="2:10" s="15" customFormat="1" x14ac:dyDescent="0.25">
      <c r="B902" s="26"/>
      <c r="D902" s="8"/>
      <c r="E902" s="8"/>
      <c r="F902" s="198"/>
      <c r="G902" s="198"/>
      <c r="H902" s="198"/>
      <c r="I902" s="198"/>
      <c r="J902" s="198"/>
    </row>
    <row r="903" spans="2:10" s="15" customFormat="1" x14ac:dyDescent="0.25">
      <c r="B903" s="26"/>
      <c r="D903" s="8"/>
      <c r="E903" s="8"/>
      <c r="F903" s="198"/>
      <c r="G903" s="198"/>
      <c r="H903" s="198"/>
      <c r="I903" s="198"/>
      <c r="J903" s="198"/>
    </row>
    <row r="904" spans="2:10" s="15" customFormat="1" x14ac:dyDescent="0.25">
      <c r="B904" s="26"/>
      <c r="D904" s="8"/>
      <c r="E904" s="8"/>
      <c r="F904" s="198"/>
      <c r="G904" s="198"/>
      <c r="H904" s="198"/>
      <c r="I904" s="198"/>
      <c r="J904" s="198"/>
    </row>
    <row r="905" spans="2:10" s="15" customFormat="1" x14ac:dyDescent="0.25">
      <c r="B905" s="26"/>
      <c r="D905" s="8"/>
      <c r="E905" s="8"/>
      <c r="F905" s="198"/>
      <c r="G905" s="198"/>
      <c r="H905" s="198"/>
      <c r="I905" s="198"/>
      <c r="J905" s="198"/>
    </row>
    <row r="906" spans="2:10" s="15" customFormat="1" x14ac:dyDescent="0.25">
      <c r="B906" s="26"/>
      <c r="D906" s="8"/>
      <c r="E906" s="8"/>
      <c r="F906" s="198"/>
      <c r="G906" s="198"/>
      <c r="H906" s="198"/>
      <c r="I906" s="198"/>
      <c r="J906" s="198"/>
    </row>
    <row r="907" spans="2:10" s="15" customFormat="1" x14ac:dyDescent="0.25">
      <c r="B907" s="26"/>
      <c r="D907" s="8"/>
      <c r="E907" s="8"/>
      <c r="F907" s="198"/>
      <c r="G907" s="198"/>
      <c r="H907" s="198"/>
      <c r="I907" s="198"/>
      <c r="J907" s="198"/>
    </row>
    <row r="908" spans="2:10" s="15" customFormat="1" x14ac:dyDescent="0.25">
      <c r="B908" s="26"/>
      <c r="D908" s="8"/>
      <c r="E908" s="8"/>
      <c r="F908" s="198"/>
      <c r="G908" s="198"/>
      <c r="H908" s="198"/>
      <c r="I908" s="198"/>
      <c r="J908" s="198"/>
    </row>
    <row r="909" spans="2:10" s="15" customFormat="1" x14ac:dyDescent="0.25">
      <c r="B909" s="26"/>
      <c r="D909" s="8"/>
      <c r="E909" s="8"/>
      <c r="F909" s="198"/>
      <c r="G909" s="198"/>
      <c r="H909" s="198"/>
      <c r="I909" s="198"/>
      <c r="J909" s="198"/>
    </row>
    <row r="910" spans="2:10" s="15" customFormat="1" x14ac:dyDescent="0.25">
      <c r="B910" s="26"/>
      <c r="D910" s="8"/>
      <c r="E910" s="8"/>
      <c r="F910" s="198"/>
      <c r="G910" s="198"/>
      <c r="H910" s="198"/>
      <c r="I910" s="198"/>
      <c r="J910" s="198"/>
    </row>
    <row r="911" spans="2:10" s="15" customFormat="1" x14ac:dyDescent="0.25">
      <c r="B911" s="26"/>
      <c r="D911" s="8"/>
      <c r="E911" s="8"/>
      <c r="F911" s="198"/>
      <c r="G911" s="198"/>
      <c r="H911" s="198"/>
      <c r="I911" s="198"/>
      <c r="J911" s="198"/>
    </row>
    <row r="912" spans="2:10" s="15" customFormat="1" x14ac:dyDescent="0.25">
      <c r="B912" s="26"/>
      <c r="D912" s="8"/>
      <c r="E912" s="8"/>
      <c r="F912" s="198"/>
      <c r="G912" s="198"/>
      <c r="H912" s="198"/>
      <c r="I912" s="198"/>
      <c r="J912" s="198"/>
    </row>
    <row r="913" spans="2:10" s="15" customFormat="1" x14ac:dyDescent="0.25">
      <c r="B913" s="26"/>
      <c r="D913" s="8"/>
      <c r="E913" s="8"/>
      <c r="F913" s="198"/>
      <c r="G913" s="198"/>
      <c r="H913" s="198"/>
      <c r="I913" s="198"/>
      <c r="J913" s="198"/>
    </row>
    <row r="914" spans="2:10" s="15" customFormat="1" x14ac:dyDescent="0.25">
      <c r="B914" s="26"/>
      <c r="D914" s="8"/>
      <c r="E914" s="8"/>
      <c r="F914" s="198"/>
      <c r="G914" s="198"/>
      <c r="H914" s="198"/>
      <c r="I914" s="198"/>
      <c r="J914" s="198"/>
    </row>
    <row r="915" spans="2:10" s="15" customFormat="1" x14ac:dyDescent="0.25">
      <c r="B915" s="26"/>
      <c r="D915" s="8"/>
      <c r="E915" s="8"/>
      <c r="F915" s="198"/>
      <c r="G915" s="198"/>
      <c r="H915" s="198"/>
      <c r="I915" s="198"/>
      <c r="J915" s="198"/>
    </row>
    <row r="916" spans="2:10" s="15" customFormat="1" x14ac:dyDescent="0.25">
      <c r="B916" s="26"/>
      <c r="D916" s="8"/>
      <c r="E916" s="8"/>
      <c r="F916" s="198"/>
      <c r="G916" s="198"/>
      <c r="H916" s="198"/>
      <c r="I916" s="198"/>
      <c r="J916" s="198"/>
    </row>
    <row r="917" spans="2:10" s="15" customFormat="1" x14ac:dyDescent="0.25">
      <c r="B917" s="26"/>
      <c r="D917" s="8"/>
      <c r="E917" s="8"/>
      <c r="F917" s="198"/>
      <c r="G917" s="198"/>
      <c r="H917" s="198"/>
      <c r="I917" s="198"/>
      <c r="J917" s="198"/>
    </row>
    <row r="918" spans="2:10" s="15" customFormat="1" x14ac:dyDescent="0.25">
      <c r="B918" s="26"/>
      <c r="D918" s="8"/>
      <c r="E918" s="8"/>
      <c r="F918" s="198"/>
      <c r="G918" s="198"/>
      <c r="H918" s="198"/>
      <c r="I918" s="198"/>
      <c r="J918" s="198"/>
    </row>
    <row r="919" spans="2:10" s="15" customFormat="1" x14ac:dyDescent="0.25">
      <c r="B919" s="26"/>
      <c r="D919" s="8"/>
      <c r="E919" s="8"/>
      <c r="F919" s="198"/>
      <c r="G919" s="198"/>
      <c r="H919" s="198"/>
      <c r="I919" s="198"/>
      <c r="J919" s="198"/>
    </row>
    <row r="920" spans="2:10" s="15" customFormat="1" x14ac:dyDescent="0.25">
      <c r="B920" s="26"/>
      <c r="D920" s="8"/>
      <c r="E920" s="8"/>
      <c r="F920" s="198"/>
      <c r="G920" s="198"/>
      <c r="H920" s="198"/>
      <c r="I920" s="198"/>
      <c r="J920" s="198"/>
    </row>
    <row r="921" spans="2:10" s="15" customFormat="1" x14ac:dyDescent="0.25">
      <c r="B921" s="26"/>
      <c r="D921" s="8"/>
      <c r="E921" s="8"/>
      <c r="F921" s="198"/>
      <c r="G921" s="198"/>
      <c r="H921" s="198"/>
      <c r="I921" s="198"/>
      <c r="J921" s="198"/>
    </row>
    <row r="922" spans="2:10" s="15" customFormat="1" x14ac:dyDescent="0.25">
      <c r="B922" s="26"/>
      <c r="D922" s="8"/>
      <c r="E922" s="8"/>
      <c r="F922" s="198"/>
      <c r="G922" s="198"/>
      <c r="H922" s="198"/>
      <c r="I922" s="198"/>
      <c r="J922" s="198"/>
    </row>
    <row r="923" spans="2:10" s="15" customFormat="1" x14ac:dyDescent="0.25">
      <c r="B923" s="26"/>
      <c r="D923" s="8"/>
      <c r="E923" s="8"/>
      <c r="F923" s="198"/>
      <c r="G923" s="198"/>
      <c r="H923" s="198"/>
      <c r="I923" s="198"/>
      <c r="J923" s="198"/>
    </row>
    <row r="924" spans="2:10" s="15" customFormat="1" x14ac:dyDescent="0.25">
      <c r="B924" s="26"/>
      <c r="D924" s="8"/>
      <c r="E924" s="8"/>
      <c r="F924" s="198"/>
      <c r="G924" s="198"/>
      <c r="H924" s="198"/>
      <c r="I924" s="198"/>
      <c r="J924" s="198"/>
    </row>
    <row r="925" spans="2:10" s="15" customFormat="1" x14ac:dyDescent="0.25">
      <c r="B925" s="26"/>
      <c r="D925" s="8"/>
      <c r="E925" s="8"/>
      <c r="F925" s="198"/>
      <c r="G925" s="198"/>
      <c r="H925" s="198"/>
      <c r="I925" s="198"/>
      <c r="J925" s="198"/>
    </row>
    <row r="926" spans="2:10" s="15" customFormat="1" x14ac:dyDescent="0.25">
      <c r="B926" s="26"/>
      <c r="D926" s="8"/>
      <c r="E926" s="8"/>
      <c r="F926" s="198"/>
      <c r="G926" s="198"/>
      <c r="H926" s="198"/>
      <c r="I926" s="198"/>
      <c r="J926" s="198"/>
    </row>
    <row r="927" spans="2:10" s="15" customFormat="1" x14ac:dyDescent="0.25">
      <c r="B927" s="26"/>
      <c r="D927" s="8"/>
      <c r="E927" s="8"/>
      <c r="F927" s="198"/>
      <c r="G927" s="198"/>
      <c r="H927" s="198"/>
      <c r="I927" s="198"/>
      <c r="J927" s="198"/>
    </row>
    <row r="928" spans="2:10" s="15" customFormat="1" x14ac:dyDescent="0.25">
      <c r="B928" s="26"/>
      <c r="D928" s="8"/>
      <c r="E928" s="8"/>
      <c r="F928" s="198"/>
      <c r="G928" s="198"/>
      <c r="H928" s="198"/>
      <c r="I928" s="198"/>
      <c r="J928" s="198"/>
    </row>
    <row r="929" spans="2:10" s="15" customFormat="1" x14ac:dyDescent="0.25">
      <c r="B929" s="26"/>
      <c r="D929" s="8"/>
      <c r="E929" s="8"/>
      <c r="F929" s="198"/>
      <c r="G929" s="198"/>
      <c r="H929" s="198"/>
      <c r="I929" s="198"/>
      <c r="J929" s="198"/>
    </row>
    <row r="930" spans="2:10" s="15" customFormat="1" x14ac:dyDescent="0.25">
      <c r="B930" s="26"/>
      <c r="D930" s="8"/>
      <c r="E930" s="8"/>
      <c r="F930" s="198"/>
      <c r="G930" s="198"/>
      <c r="H930" s="198"/>
      <c r="I930" s="198"/>
      <c r="J930" s="198"/>
    </row>
    <row r="931" spans="2:10" s="15" customFormat="1" x14ac:dyDescent="0.25">
      <c r="B931" s="26"/>
      <c r="D931" s="8"/>
      <c r="E931" s="8"/>
      <c r="F931" s="198"/>
      <c r="G931" s="198"/>
      <c r="H931" s="198"/>
      <c r="I931" s="198"/>
      <c r="J931" s="198"/>
    </row>
    <row r="932" spans="2:10" s="15" customFormat="1" x14ac:dyDescent="0.25">
      <c r="B932" s="26"/>
      <c r="D932" s="8"/>
      <c r="E932" s="8"/>
      <c r="F932" s="198"/>
      <c r="G932" s="198"/>
      <c r="H932" s="198"/>
      <c r="I932" s="198"/>
      <c r="J932" s="198"/>
    </row>
    <row r="933" spans="2:10" s="15" customFormat="1" x14ac:dyDescent="0.25">
      <c r="B933" s="26"/>
      <c r="D933" s="8"/>
      <c r="E933" s="8"/>
      <c r="F933" s="198"/>
      <c r="G933" s="198"/>
      <c r="H933" s="198"/>
      <c r="I933" s="198"/>
      <c r="J933" s="198"/>
    </row>
    <row r="934" spans="2:10" s="15" customFormat="1" x14ac:dyDescent="0.25">
      <c r="B934" s="26"/>
      <c r="D934" s="8"/>
      <c r="E934" s="8"/>
      <c r="F934" s="198"/>
      <c r="G934" s="198"/>
      <c r="H934" s="198"/>
      <c r="I934" s="198"/>
      <c r="J934" s="198"/>
    </row>
    <row r="935" spans="2:10" s="15" customFormat="1" x14ac:dyDescent="0.25">
      <c r="B935" s="26"/>
      <c r="D935" s="8"/>
      <c r="E935" s="8"/>
      <c r="F935" s="198"/>
      <c r="G935" s="198"/>
      <c r="H935" s="198"/>
      <c r="I935" s="198"/>
      <c r="J935" s="198"/>
    </row>
    <row r="936" spans="2:10" s="15" customFormat="1" x14ac:dyDescent="0.25">
      <c r="B936" s="26"/>
      <c r="D936" s="8"/>
      <c r="E936" s="8"/>
      <c r="F936" s="198"/>
      <c r="G936" s="198"/>
      <c r="H936" s="198"/>
      <c r="I936" s="198"/>
      <c r="J936" s="198"/>
    </row>
    <row r="937" spans="2:10" s="15" customFormat="1" x14ac:dyDescent="0.25">
      <c r="B937" s="26"/>
      <c r="D937" s="8"/>
      <c r="E937" s="8"/>
      <c r="F937" s="198"/>
      <c r="G937" s="198"/>
      <c r="H937" s="198"/>
      <c r="I937" s="198"/>
      <c r="J937" s="198"/>
    </row>
    <row r="938" spans="2:10" s="15" customFormat="1" x14ac:dyDescent="0.25">
      <c r="B938" s="26"/>
      <c r="D938" s="8"/>
      <c r="E938" s="8"/>
      <c r="F938" s="198"/>
      <c r="G938" s="198"/>
      <c r="H938" s="198"/>
      <c r="I938" s="198"/>
      <c r="J938" s="198"/>
    </row>
    <row r="939" spans="2:10" s="15" customFormat="1" x14ac:dyDescent="0.25">
      <c r="B939" s="26"/>
      <c r="D939" s="8"/>
      <c r="E939" s="8"/>
      <c r="F939" s="198"/>
      <c r="G939" s="198"/>
      <c r="H939" s="198"/>
      <c r="I939" s="198"/>
      <c r="J939" s="198"/>
    </row>
    <row r="940" spans="2:10" s="15" customFormat="1" x14ac:dyDescent="0.25">
      <c r="B940" s="26"/>
      <c r="D940" s="8"/>
      <c r="E940" s="8"/>
      <c r="F940" s="198"/>
      <c r="G940" s="198"/>
      <c r="H940" s="198"/>
      <c r="I940" s="198"/>
      <c r="J940" s="198"/>
    </row>
    <row r="941" spans="2:10" s="15" customFormat="1" x14ac:dyDescent="0.25">
      <c r="B941" s="26"/>
      <c r="D941" s="8"/>
      <c r="E941" s="8"/>
      <c r="F941" s="198"/>
      <c r="G941" s="198"/>
      <c r="H941" s="198"/>
      <c r="I941" s="198"/>
      <c r="J941" s="198"/>
    </row>
    <row r="942" spans="2:10" s="15" customFormat="1" x14ac:dyDescent="0.25">
      <c r="B942" s="26"/>
      <c r="D942" s="8"/>
      <c r="E942" s="8"/>
      <c r="F942" s="198"/>
      <c r="G942" s="198"/>
      <c r="H942" s="198"/>
      <c r="I942" s="198"/>
      <c r="J942" s="198"/>
    </row>
    <row r="943" spans="2:10" s="15" customFormat="1" x14ac:dyDescent="0.25">
      <c r="B943" s="26"/>
      <c r="D943" s="8"/>
      <c r="E943" s="8"/>
      <c r="F943" s="198"/>
      <c r="G943" s="198"/>
      <c r="H943" s="198"/>
      <c r="I943" s="198"/>
      <c r="J943" s="198"/>
    </row>
    <row r="944" spans="2:10" s="15" customFormat="1" x14ac:dyDescent="0.25">
      <c r="B944" s="26"/>
      <c r="D944" s="8"/>
      <c r="E944" s="8"/>
      <c r="F944" s="198"/>
      <c r="G944" s="198"/>
      <c r="H944" s="198"/>
      <c r="I944" s="198"/>
      <c r="J944" s="198"/>
    </row>
    <row r="945" spans="2:10" s="15" customFormat="1" x14ac:dyDescent="0.25">
      <c r="B945" s="26"/>
      <c r="D945" s="8"/>
      <c r="E945" s="8"/>
      <c r="F945" s="198"/>
      <c r="G945" s="198"/>
      <c r="H945" s="198"/>
      <c r="I945" s="198"/>
      <c r="J945" s="198"/>
    </row>
    <row r="946" spans="2:10" s="15" customFormat="1" x14ac:dyDescent="0.25">
      <c r="B946" s="26"/>
      <c r="D946" s="8"/>
      <c r="E946" s="8"/>
      <c r="F946" s="198"/>
      <c r="G946" s="198"/>
      <c r="H946" s="198"/>
      <c r="I946" s="198"/>
      <c r="J946" s="198"/>
    </row>
    <row r="947" spans="2:10" s="15" customFormat="1" x14ac:dyDescent="0.25">
      <c r="B947" s="26"/>
      <c r="D947" s="8"/>
      <c r="E947" s="8"/>
      <c r="F947" s="198"/>
      <c r="G947" s="198"/>
      <c r="H947" s="198"/>
      <c r="I947" s="198"/>
      <c r="J947" s="198"/>
    </row>
    <row r="948" spans="2:10" s="15" customFormat="1" x14ac:dyDescent="0.25">
      <c r="B948" s="26"/>
      <c r="D948" s="8"/>
      <c r="E948" s="8"/>
      <c r="F948" s="198"/>
      <c r="G948" s="198"/>
      <c r="H948" s="198"/>
      <c r="I948" s="198"/>
      <c r="J948" s="198"/>
    </row>
    <row r="949" spans="2:10" s="15" customFormat="1" x14ac:dyDescent="0.25">
      <c r="B949" s="26"/>
      <c r="D949" s="8"/>
      <c r="E949" s="8"/>
      <c r="F949" s="198"/>
      <c r="G949" s="198"/>
      <c r="H949" s="198"/>
      <c r="I949" s="198"/>
      <c r="J949" s="198"/>
    </row>
    <row r="950" spans="2:10" s="15" customFormat="1" x14ac:dyDescent="0.25">
      <c r="B950" s="26"/>
      <c r="D950" s="8"/>
      <c r="E950" s="8"/>
      <c r="F950" s="198"/>
      <c r="G950" s="198"/>
      <c r="H950" s="198"/>
      <c r="I950" s="198"/>
      <c r="J950" s="198"/>
    </row>
    <row r="951" spans="2:10" s="15" customFormat="1" x14ac:dyDescent="0.25">
      <c r="B951" s="26"/>
      <c r="D951" s="8"/>
      <c r="E951" s="8"/>
      <c r="F951" s="198"/>
      <c r="G951" s="198"/>
      <c r="H951" s="198"/>
      <c r="I951" s="198"/>
      <c r="J951" s="198"/>
    </row>
    <row r="952" spans="2:10" s="15" customFormat="1" x14ac:dyDescent="0.25">
      <c r="B952" s="26"/>
      <c r="D952" s="8"/>
      <c r="E952" s="8"/>
      <c r="F952" s="198"/>
      <c r="G952" s="198"/>
      <c r="H952" s="198"/>
      <c r="I952" s="198"/>
      <c r="J952" s="198"/>
    </row>
    <row r="953" spans="2:10" s="15" customFormat="1" x14ac:dyDescent="0.25">
      <c r="B953" s="26"/>
      <c r="D953" s="8"/>
      <c r="E953" s="8"/>
      <c r="F953" s="198"/>
      <c r="G953" s="198"/>
      <c r="H953" s="198"/>
      <c r="I953" s="198"/>
      <c r="J953" s="198"/>
    </row>
    <row r="954" spans="2:10" s="15" customFormat="1" x14ac:dyDescent="0.25">
      <c r="B954" s="26"/>
      <c r="D954" s="8"/>
      <c r="E954" s="8"/>
      <c r="F954" s="198"/>
      <c r="G954" s="198"/>
      <c r="H954" s="198"/>
      <c r="I954" s="198"/>
      <c r="J954" s="198"/>
    </row>
    <row r="955" spans="2:10" s="15" customFormat="1" x14ac:dyDescent="0.25">
      <c r="B955" s="26"/>
      <c r="D955" s="8"/>
      <c r="E955" s="8"/>
      <c r="F955" s="198"/>
      <c r="G955" s="198"/>
      <c r="H955" s="198"/>
      <c r="I955" s="198"/>
      <c r="J955" s="198"/>
    </row>
    <row r="956" spans="2:10" s="15" customFormat="1" x14ac:dyDescent="0.25">
      <c r="B956" s="26"/>
      <c r="D956" s="8"/>
      <c r="E956" s="8"/>
      <c r="F956" s="198"/>
      <c r="G956" s="198"/>
      <c r="H956" s="198"/>
      <c r="I956" s="198"/>
      <c r="J956" s="198"/>
    </row>
    <row r="957" spans="2:10" s="15" customFormat="1" x14ac:dyDescent="0.25">
      <c r="B957" s="26"/>
      <c r="D957" s="8"/>
      <c r="E957" s="8"/>
      <c r="F957" s="198"/>
      <c r="G957" s="198"/>
      <c r="H957" s="198"/>
      <c r="I957" s="198"/>
      <c r="J957" s="198"/>
    </row>
    <row r="958" spans="2:10" s="15" customFormat="1" x14ac:dyDescent="0.25">
      <c r="B958" s="26"/>
      <c r="D958" s="8"/>
      <c r="E958" s="8"/>
      <c r="F958" s="198"/>
      <c r="G958" s="198"/>
      <c r="H958" s="198"/>
      <c r="I958" s="198"/>
      <c r="J958" s="198"/>
    </row>
    <row r="959" spans="2:10" s="15" customFormat="1" x14ac:dyDescent="0.25">
      <c r="B959" s="26"/>
      <c r="D959" s="8"/>
      <c r="E959" s="8"/>
      <c r="F959" s="198"/>
      <c r="G959" s="198"/>
      <c r="H959" s="198"/>
      <c r="I959" s="198"/>
      <c r="J959" s="198"/>
    </row>
    <row r="960" spans="2:10" s="15" customFormat="1" x14ac:dyDescent="0.25">
      <c r="B960" s="26"/>
      <c r="D960" s="8"/>
      <c r="E960" s="8"/>
      <c r="F960" s="198"/>
      <c r="G960" s="198"/>
      <c r="H960" s="198"/>
      <c r="I960" s="198"/>
      <c r="J960" s="198"/>
    </row>
    <row r="961" spans="2:10" s="15" customFormat="1" x14ac:dyDescent="0.25">
      <c r="B961" s="26"/>
      <c r="D961" s="8"/>
      <c r="E961" s="8"/>
      <c r="F961" s="198"/>
      <c r="G961" s="198"/>
      <c r="H961" s="198"/>
      <c r="I961" s="198"/>
      <c r="J961" s="198"/>
    </row>
    <row r="962" spans="2:10" s="15" customFormat="1" x14ac:dyDescent="0.25">
      <c r="B962" s="26"/>
      <c r="D962" s="8"/>
      <c r="E962" s="8"/>
      <c r="F962" s="198"/>
      <c r="G962" s="198"/>
      <c r="H962" s="198"/>
      <c r="I962" s="198"/>
      <c r="J962" s="198"/>
    </row>
    <row r="963" spans="2:10" s="15" customFormat="1" x14ac:dyDescent="0.25">
      <c r="B963" s="26"/>
      <c r="D963" s="8"/>
      <c r="E963" s="8"/>
      <c r="F963" s="198"/>
      <c r="G963" s="198"/>
      <c r="H963" s="198"/>
      <c r="I963" s="198"/>
      <c r="J963" s="198"/>
    </row>
    <row r="964" spans="2:10" s="15" customFormat="1" x14ac:dyDescent="0.25">
      <c r="B964" s="26"/>
      <c r="D964" s="8"/>
      <c r="E964" s="8"/>
      <c r="F964" s="198"/>
      <c r="G964" s="198"/>
      <c r="H964" s="198"/>
      <c r="I964" s="198"/>
      <c r="J964" s="198"/>
    </row>
    <row r="965" spans="2:10" s="15" customFormat="1" x14ac:dyDescent="0.25">
      <c r="B965" s="26"/>
      <c r="D965" s="8"/>
      <c r="E965" s="8"/>
      <c r="F965" s="198"/>
      <c r="G965" s="198"/>
      <c r="H965" s="198"/>
      <c r="I965" s="198"/>
      <c r="J965" s="198"/>
    </row>
    <row r="966" spans="2:10" s="15" customFormat="1" x14ac:dyDescent="0.25">
      <c r="B966" s="26"/>
      <c r="D966" s="8"/>
      <c r="E966" s="8"/>
      <c r="F966" s="198"/>
      <c r="G966" s="198"/>
      <c r="H966" s="198"/>
      <c r="I966" s="198"/>
      <c r="J966" s="198"/>
    </row>
    <row r="967" spans="2:10" s="15" customFormat="1" x14ac:dyDescent="0.25">
      <c r="B967" s="26"/>
      <c r="D967" s="8"/>
      <c r="E967" s="8"/>
      <c r="F967" s="198"/>
      <c r="G967" s="198"/>
      <c r="H967" s="198"/>
      <c r="I967" s="198"/>
      <c r="J967" s="198"/>
    </row>
    <row r="968" spans="2:10" s="15" customFormat="1" x14ac:dyDescent="0.25">
      <c r="B968" s="26"/>
      <c r="D968" s="8"/>
      <c r="E968" s="8"/>
      <c r="F968" s="198"/>
      <c r="G968" s="198"/>
      <c r="H968" s="198"/>
      <c r="I968" s="198"/>
      <c r="J968" s="198"/>
    </row>
    <row r="969" spans="2:10" s="15" customFormat="1" x14ac:dyDescent="0.25">
      <c r="B969" s="26"/>
      <c r="D969" s="8"/>
      <c r="E969" s="8"/>
      <c r="F969" s="198"/>
      <c r="G969" s="198"/>
      <c r="H969" s="198"/>
      <c r="I969" s="198"/>
      <c r="J969" s="198"/>
    </row>
    <row r="970" spans="2:10" s="15" customFormat="1" x14ac:dyDescent="0.25">
      <c r="B970" s="26"/>
      <c r="D970" s="8"/>
      <c r="E970" s="8"/>
      <c r="F970" s="198"/>
      <c r="G970" s="198"/>
      <c r="H970" s="198"/>
      <c r="I970" s="198"/>
      <c r="J970" s="198"/>
    </row>
    <row r="971" spans="2:10" s="15" customFormat="1" x14ac:dyDescent="0.25">
      <c r="B971" s="26"/>
      <c r="D971" s="8"/>
      <c r="E971" s="8"/>
      <c r="F971" s="198"/>
      <c r="G971" s="198"/>
      <c r="H971" s="198"/>
      <c r="I971" s="198"/>
      <c r="J971" s="198"/>
    </row>
    <row r="972" spans="2:10" s="15" customFormat="1" x14ac:dyDescent="0.25">
      <c r="B972" s="26"/>
      <c r="D972" s="8"/>
      <c r="E972" s="8"/>
      <c r="F972" s="198"/>
      <c r="G972" s="198"/>
      <c r="H972" s="198"/>
      <c r="I972" s="198"/>
      <c r="J972" s="198"/>
    </row>
    <row r="973" spans="2:10" s="15" customFormat="1" x14ac:dyDescent="0.25">
      <c r="B973" s="26"/>
      <c r="D973" s="8"/>
      <c r="E973" s="8"/>
      <c r="F973" s="198"/>
      <c r="G973" s="198"/>
      <c r="H973" s="198"/>
      <c r="I973" s="198"/>
      <c r="J973" s="198"/>
    </row>
    <row r="974" spans="2:10" s="15" customFormat="1" x14ac:dyDescent="0.25">
      <c r="B974" s="26"/>
      <c r="D974" s="8"/>
      <c r="E974" s="8"/>
      <c r="F974" s="198"/>
      <c r="G974" s="198"/>
      <c r="H974" s="198"/>
      <c r="I974" s="198"/>
      <c r="J974" s="198"/>
    </row>
    <row r="975" spans="2:10" s="15" customFormat="1" x14ac:dyDescent="0.25">
      <c r="B975" s="26"/>
      <c r="D975" s="8"/>
      <c r="E975" s="8"/>
      <c r="F975" s="198"/>
      <c r="G975" s="198"/>
      <c r="H975" s="198"/>
      <c r="I975" s="198"/>
      <c r="J975" s="198"/>
    </row>
    <row r="976" spans="2:10" s="15" customFormat="1" x14ac:dyDescent="0.25">
      <c r="B976" s="26"/>
      <c r="D976" s="8"/>
      <c r="E976" s="8"/>
      <c r="F976" s="198"/>
      <c r="G976" s="198"/>
      <c r="H976" s="198"/>
      <c r="I976" s="198"/>
      <c r="J976" s="198"/>
    </row>
    <row r="977" spans="2:10" s="15" customFormat="1" x14ac:dyDescent="0.25">
      <c r="B977" s="26"/>
      <c r="D977" s="8"/>
      <c r="E977" s="8"/>
      <c r="F977" s="198"/>
      <c r="G977" s="198"/>
      <c r="H977" s="198"/>
      <c r="I977" s="198"/>
      <c r="J977" s="198"/>
    </row>
    <row r="978" spans="2:10" s="15" customFormat="1" x14ac:dyDescent="0.25">
      <c r="B978" s="26"/>
      <c r="D978" s="8"/>
      <c r="E978" s="8"/>
      <c r="F978" s="198"/>
      <c r="G978" s="198"/>
      <c r="H978" s="198"/>
      <c r="I978" s="198"/>
      <c r="J978" s="198"/>
    </row>
    <row r="979" spans="2:10" s="15" customFormat="1" x14ac:dyDescent="0.25">
      <c r="B979" s="26"/>
      <c r="D979" s="8"/>
      <c r="E979" s="8"/>
      <c r="F979" s="198"/>
      <c r="G979" s="198"/>
      <c r="H979" s="198"/>
      <c r="I979" s="198"/>
      <c r="J979" s="198"/>
    </row>
    <row r="980" spans="2:10" s="15" customFormat="1" x14ac:dyDescent="0.25">
      <c r="B980" s="26"/>
      <c r="D980" s="8"/>
      <c r="E980" s="8"/>
      <c r="F980" s="198"/>
      <c r="G980" s="198"/>
      <c r="H980" s="198"/>
      <c r="I980" s="198"/>
      <c r="J980" s="198"/>
    </row>
    <row r="981" spans="2:10" s="15" customFormat="1" x14ac:dyDescent="0.25">
      <c r="B981" s="26"/>
      <c r="D981" s="8"/>
      <c r="E981" s="8"/>
      <c r="F981" s="198"/>
      <c r="G981" s="198"/>
      <c r="H981" s="198"/>
      <c r="I981" s="198"/>
      <c r="J981" s="198"/>
    </row>
    <row r="982" spans="2:10" s="15" customFormat="1" x14ac:dyDescent="0.25">
      <c r="B982" s="26"/>
      <c r="D982" s="8"/>
      <c r="E982" s="8"/>
      <c r="F982" s="198"/>
      <c r="G982" s="198"/>
      <c r="H982" s="198"/>
      <c r="I982" s="198"/>
      <c r="J982" s="198"/>
    </row>
    <row r="983" spans="2:10" s="15" customFormat="1" x14ac:dyDescent="0.25">
      <c r="B983" s="26"/>
      <c r="D983" s="8"/>
      <c r="E983" s="8"/>
      <c r="F983" s="198"/>
      <c r="G983" s="198"/>
      <c r="H983" s="198"/>
      <c r="I983" s="198"/>
      <c r="J983" s="198"/>
    </row>
    <row r="984" spans="2:10" s="15" customFormat="1" x14ac:dyDescent="0.25">
      <c r="B984" s="26"/>
      <c r="D984" s="8"/>
      <c r="E984" s="8"/>
      <c r="F984" s="198"/>
      <c r="G984" s="198"/>
      <c r="H984" s="198"/>
      <c r="I984" s="198"/>
      <c r="J984" s="198"/>
    </row>
    <row r="985" spans="2:10" s="15" customFormat="1" x14ac:dyDescent="0.25">
      <c r="B985" s="26"/>
      <c r="D985" s="8"/>
      <c r="E985" s="8"/>
      <c r="F985" s="198"/>
      <c r="G985" s="198"/>
      <c r="H985" s="198"/>
      <c r="I985" s="198"/>
      <c r="J985" s="198"/>
    </row>
    <row r="986" spans="2:10" s="15" customFormat="1" x14ac:dyDescent="0.25">
      <c r="B986" s="26"/>
      <c r="D986" s="8"/>
      <c r="E986" s="8"/>
      <c r="F986" s="198"/>
      <c r="G986" s="198"/>
      <c r="H986" s="198"/>
      <c r="I986" s="198"/>
      <c r="J986" s="198"/>
    </row>
    <row r="987" spans="2:10" s="15" customFormat="1" x14ac:dyDescent="0.25">
      <c r="B987" s="26"/>
      <c r="D987" s="8"/>
      <c r="E987" s="8"/>
      <c r="F987" s="198"/>
      <c r="G987" s="198"/>
      <c r="H987" s="198"/>
      <c r="I987" s="198"/>
      <c r="J987" s="198"/>
    </row>
    <row r="988" spans="2:10" s="15" customFormat="1" x14ac:dyDescent="0.25">
      <c r="B988" s="26"/>
      <c r="D988" s="8"/>
      <c r="E988" s="8"/>
      <c r="F988" s="198"/>
      <c r="G988" s="198"/>
      <c r="H988" s="198"/>
      <c r="I988" s="198"/>
      <c r="J988" s="198"/>
    </row>
    <row r="989" spans="2:10" s="15" customFormat="1" x14ac:dyDescent="0.25">
      <c r="B989" s="26"/>
      <c r="D989" s="8"/>
      <c r="E989" s="8"/>
      <c r="F989" s="198"/>
      <c r="G989" s="198"/>
      <c r="H989" s="198"/>
      <c r="I989" s="198"/>
      <c r="J989" s="198"/>
    </row>
    <row r="990" spans="2:10" s="15" customFormat="1" x14ac:dyDescent="0.25">
      <c r="B990" s="26"/>
      <c r="D990" s="8"/>
      <c r="E990" s="8"/>
      <c r="F990" s="198"/>
      <c r="G990" s="198"/>
      <c r="H990" s="198"/>
      <c r="I990" s="198"/>
      <c r="J990" s="198"/>
    </row>
    <row r="991" spans="2:10" s="15" customFormat="1" x14ac:dyDescent="0.25">
      <c r="B991" s="26"/>
      <c r="D991" s="8"/>
      <c r="E991" s="8"/>
      <c r="F991" s="198"/>
      <c r="G991" s="198"/>
      <c r="H991" s="198"/>
      <c r="I991" s="198"/>
      <c r="J991" s="198"/>
    </row>
    <row r="992" spans="2:10" s="15" customFormat="1" x14ac:dyDescent="0.25">
      <c r="B992" s="26"/>
      <c r="D992" s="8"/>
      <c r="E992" s="8"/>
      <c r="F992" s="198"/>
      <c r="G992" s="198"/>
      <c r="H992" s="198"/>
      <c r="I992" s="198"/>
      <c r="J992" s="198"/>
    </row>
    <row r="993" spans="2:10" s="15" customFormat="1" x14ac:dyDescent="0.25">
      <c r="B993" s="26"/>
      <c r="D993" s="8"/>
      <c r="E993" s="8"/>
      <c r="F993" s="198"/>
      <c r="G993" s="198"/>
      <c r="H993" s="198"/>
      <c r="I993" s="198"/>
      <c r="J993" s="198"/>
    </row>
    <row r="994" spans="2:10" s="15" customFormat="1" x14ac:dyDescent="0.25">
      <c r="B994" s="26"/>
      <c r="D994" s="8"/>
      <c r="E994" s="8"/>
      <c r="F994" s="198"/>
      <c r="G994" s="198"/>
      <c r="H994" s="198"/>
      <c r="I994" s="198"/>
      <c r="J994" s="198"/>
    </row>
    <row r="995" spans="2:10" s="15" customFormat="1" x14ac:dyDescent="0.25">
      <c r="B995" s="26"/>
      <c r="D995" s="8"/>
      <c r="E995" s="8"/>
      <c r="F995" s="198"/>
      <c r="G995" s="198"/>
      <c r="H995" s="198"/>
      <c r="I995" s="198"/>
      <c r="J995" s="198"/>
    </row>
    <row r="996" spans="2:10" s="15" customFormat="1" x14ac:dyDescent="0.25">
      <c r="B996" s="26"/>
      <c r="D996" s="8"/>
      <c r="E996" s="8"/>
      <c r="F996" s="198"/>
      <c r="G996" s="198"/>
      <c r="H996" s="198"/>
      <c r="I996" s="198"/>
      <c r="J996" s="198"/>
    </row>
    <row r="997" spans="2:10" s="15" customFormat="1" x14ac:dyDescent="0.25">
      <c r="B997" s="26"/>
      <c r="D997" s="8"/>
      <c r="E997" s="8"/>
      <c r="F997" s="198"/>
      <c r="G997" s="198"/>
      <c r="H997" s="198"/>
      <c r="I997" s="198"/>
      <c r="J997" s="198"/>
    </row>
    <row r="998" spans="2:10" s="15" customFormat="1" x14ac:dyDescent="0.25">
      <c r="B998" s="26"/>
      <c r="D998" s="8"/>
      <c r="E998" s="8"/>
      <c r="F998" s="198"/>
      <c r="G998" s="198"/>
      <c r="H998" s="198"/>
      <c r="I998" s="198"/>
      <c r="J998" s="198"/>
    </row>
    <row r="999" spans="2:10" s="15" customFormat="1" x14ac:dyDescent="0.25">
      <c r="B999" s="26"/>
      <c r="D999" s="8"/>
      <c r="E999" s="8"/>
      <c r="F999" s="198"/>
      <c r="G999" s="198"/>
      <c r="H999" s="198"/>
      <c r="I999" s="198"/>
      <c r="J999" s="198"/>
    </row>
    <row r="1000" spans="2:10" s="15" customFormat="1" x14ac:dyDescent="0.25">
      <c r="B1000" s="26"/>
      <c r="D1000" s="8"/>
      <c r="E1000" s="8"/>
      <c r="F1000" s="198"/>
      <c r="G1000" s="198"/>
      <c r="H1000" s="198"/>
      <c r="I1000" s="198"/>
      <c r="J1000" s="198"/>
    </row>
    <row r="1001" spans="2:10" s="15" customFormat="1" x14ac:dyDescent="0.25">
      <c r="B1001" s="26"/>
      <c r="D1001" s="8"/>
      <c r="E1001" s="8"/>
      <c r="F1001" s="198"/>
      <c r="G1001" s="198"/>
      <c r="H1001" s="198"/>
      <c r="I1001" s="198"/>
      <c r="J1001" s="198"/>
    </row>
    <row r="1002" spans="2:10" s="15" customFormat="1" x14ac:dyDescent="0.25">
      <c r="B1002" s="26"/>
      <c r="D1002" s="8"/>
      <c r="E1002" s="8"/>
      <c r="F1002" s="198"/>
      <c r="G1002" s="198"/>
      <c r="H1002" s="198"/>
      <c r="I1002" s="198"/>
      <c r="J1002" s="198"/>
    </row>
    <row r="1003" spans="2:10" s="15" customFormat="1" x14ac:dyDescent="0.25">
      <c r="B1003" s="26"/>
      <c r="D1003" s="8"/>
      <c r="E1003" s="8"/>
      <c r="F1003" s="198"/>
      <c r="G1003" s="198"/>
      <c r="H1003" s="198"/>
      <c r="I1003" s="198"/>
      <c r="J1003" s="198"/>
    </row>
    <row r="1004" spans="2:10" s="15" customFormat="1" x14ac:dyDescent="0.25">
      <c r="B1004" s="26"/>
      <c r="D1004" s="8"/>
      <c r="E1004" s="8"/>
      <c r="F1004" s="198"/>
      <c r="G1004" s="198"/>
      <c r="H1004" s="198"/>
      <c r="I1004" s="198"/>
      <c r="J1004" s="198"/>
    </row>
    <row r="1005" spans="2:10" s="15" customFormat="1" x14ac:dyDescent="0.25">
      <c r="B1005" s="26"/>
      <c r="D1005" s="8"/>
      <c r="E1005" s="8"/>
      <c r="F1005" s="198"/>
      <c r="G1005" s="198"/>
      <c r="H1005" s="198"/>
      <c r="I1005" s="198"/>
      <c r="J1005" s="198"/>
    </row>
    <row r="1006" spans="2:10" s="15" customFormat="1" x14ac:dyDescent="0.25">
      <c r="B1006" s="26"/>
      <c r="D1006" s="8"/>
      <c r="E1006" s="8"/>
      <c r="F1006" s="198"/>
      <c r="G1006" s="198"/>
      <c r="H1006" s="198"/>
      <c r="I1006" s="198"/>
      <c r="J1006" s="198"/>
    </row>
    <row r="1007" spans="2:10" s="15" customFormat="1" x14ac:dyDescent="0.25">
      <c r="B1007" s="26"/>
      <c r="D1007" s="8"/>
      <c r="E1007" s="8"/>
      <c r="F1007" s="198"/>
      <c r="G1007" s="198"/>
      <c r="H1007" s="198"/>
      <c r="I1007" s="198"/>
      <c r="J1007" s="198"/>
    </row>
    <row r="1008" spans="2:10" s="15" customFormat="1" x14ac:dyDescent="0.25">
      <c r="B1008" s="26"/>
      <c r="D1008" s="8"/>
      <c r="E1008" s="8"/>
      <c r="F1008" s="198"/>
      <c r="G1008" s="198"/>
      <c r="H1008" s="198"/>
      <c r="I1008" s="198"/>
      <c r="J1008" s="198"/>
    </row>
    <row r="1009" spans="2:10" s="15" customFormat="1" x14ac:dyDescent="0.25">
      <c r="B1009" s="26"/>
      <c r="D1009" s="8"/>
      <c r="E1009" s="8"/>
      <c r="F1009" s="198"/>
      <c r="G1009" s="198"/>
      <c r="H1009" s="198"/>
      <c r="I1009" s="198"/>
      <c r="J1009" s="198"/>
    </row>
    <row r="1010" spans="2:10" s="15" customFormat="1" x14ac:dyDescent="0.25">
      <c r="B1010" s="26"/>
      <c r="D1010" s="8"/>
      <c r="E1010" s="8"/>
      <c r="F1010" s="198"/>
      <c r="G1010" s="198"/>
      <c r="H1010" s="198"/>
      <c r="I1010" s="198"/>
      <c r="J1010" s="198"/>
    </row>
    <row r="1011" spans="2:10" s="15" customFormat="1" x14ac:dyDescent="0.25">
      <c r="B1011" s="26"/>
      <c r="D1011" s="8"/>
      <c r="E1011" s="8"/>
      <c r="F1011" s="198"/>
      <c r="G1011" s="198"/>
      <c r="H1011" s="198"/>
      <c r="I1011" s="198"/>
      <c r="J1011" s="198"/>
    </row>
    <row r="1012" spans="2:10" s="15" customFormat="1" x14ac:dyDescent="0.25">
      <c r="B1012" s="26"/>
      <c r="D1012" s="8"/>
      <c r="E1012" s="8"/>
      <c r="F1012" s="198"/>
      <c r="G1012" s="198"/>
      <c r="H1012" s="198"/>
      <c r="I1012" s="198"/>
      <c r="J1012" s="198"/>
    </row>
    <row r="1013" spans="2:10" s="15" customFormat="1" x14ac:dyDescent="0.25">
      <c r="B1013" s="26"/>
      <c r="D1013" s="8"/>
      <c r="E1013" s="8"/>
      <c r="F1013" s="198"/>
      <c r="G1013" s="198"/>
      <c r="H1013" s="198"/>
      <c r="I1013" s="198"/>
      <c r="J1013" s="198"/>
    </row>
    <row r="1014" spans="2:10" s="15" customFormat="1" x14ac:dyDescent="0.25">
      <c r="B1014" s="26"/>
      <c r="D1014" s="8"/>
      <c r="E1014" s="8"/>
      <c r="F1014" s="198"/>
      <c r="G1014" s="198"/>
      <c r="H1014" s="198"/>
      <c r="I1014" s="198"/>
      <c r="J1014" s="198"/>
    </row>
    <row r="1015" spans="2:10" s="15" customFormat="1" x14ac:dyDescent="0.25">
      <c r="B1015" s="26"/>
      <c r="D1015" s="8"/>
      <c r="E1015" s="8"/>
      <c r="F1015" s="198"/>
      <c r="G1015" s="198"/>
      <c r="H1015" s="198"/>
      <c r="I1015" s="198"/>
      <c r="J1015" s="198"/>
    </row>
    <row r="1016" spans="2:10" s="15" customFormat="1" x14ac:dyDescent="0.25">
      <c r="B1016" s="26"/>
      <c r="D1016" s="8"/>
      <c r="E1016" s="8"/>
      <c r="F1016" s="198"/>
      <c r="G1016" s="198"/>
      <c r="H1016" s="198"/>
      <c r="I1016" s="198"/>
      <c r="J1016" s="198"/>
    </row>
    <row r="1017" spans="2:10" s="15" customFormat="1" x14ac:dyDescent="0.25">
      <c r="B1017" s="26"/>
      <c r="D1017" s="8"/>
      <c r="E1017" s="8"/>
      <c r="F1017" s="198"/>
      <c r="G1017" s="198"/>
      <c r="H1017" s="198"/>
      <c r="I1017" s="198"/>
      <c r="J1017" s="198"/>
    </row>
    <row r="1018" spans="2:10" s="15" customFormat="1" x14ac:dyDescent="0.25">
      <c r="B1018" s="26"/>
      <c r="D1018" s="8"/>
      <c r="E1018" s="8"/>
      <c r="F1018" s="198"/>
      <c r="G1018" s="198"/>
      <c r="H1018" s="198"/>
      <c r="I1018" s="198"/>
      <c r="J1018" s="198"/>
    </row>
    <row r="1019" spans="2:10" s="15" customFormat="1" x14ac:dyDescent="0.25">
      <c r="B1019" s="26"/>
      <c r="D1019" s="8"/>
      <c r="E1019" s="8"/>
      <c r="F1019" s="198"/>
      <c r="G1019" s="198"/>
      <c r="H1019" s="198"/>
      <c r="I1019" s="198"/>
      <c r="J1019" s="198"/>
    </row>
    <row r="1020" spans="2:10" s="15" customFormat="1" x14ac:dyDescent="0.25">
      <c r="B1020" s="26"/>
      <c r="D1020" s="8"/>
      <c r="E1020" s="8"/>
      <c r="F1020" s="198"/>
      <c r="G1020" s="198"/>
      <c r="H1020" s="198"/>
      <c r="I1020" s="198"/>
      <c r="J1020" s="198"/>
    </row>
    <row r="1021" spans="2:10" s="15" customFormat="1" x14ac:dyDescent="0.25">
      <c r="B1021" s="26"/>
      <c r="D1021" s="8"/>
      <c r="E1021" s="8"/>
      <c r="F1021" s="198"/>
      <c r="G1021" s="198"/>
      <c r="H1021" s="198"/>
      <c r="I1021" s="198"/>
      <c r="J1021" s="198"/>
    </row>
    <row r="1022" spans="2:10" s="15" customFormat="1" x14ac:dyDescent="0.25">
      <c r="B1022" s="26"/>
      <c r="D1022" s="8"/>
      <c r="E1022" s="8"/>
      <c r="F1022" s="198"/>
      <c r="G1022" s="198"/>
      <c r="H1022" s="198"/>
      <c r="I1022" s="198"/>
      <c r="J1022" s="198"/>
    </row>
    <row r="1023" spans="2:10" s="15" customFormat="1" x14ac:dyDescent="0.25">
      <c r="B1023" s="26"/>
      <c r="D1023" s="8"/>
      <c r="E1023" s="8"/>
      <c r="F1023" s="198"/>
      <c r="G1023" s="198"/>
      <c r="H1023" s="198"/>
      <c r="I1023" s="198"/>
      <c r="J1023" s="198"/>
    </row>
    <row r="1024" spans="2:10" s="15" customFormat="1" x14ac:dyDescent="0.25">
      <c r="B1024" s="26"/>
      <c r="D1024" s="8"/>
      <c r="E1024" s="8"/>
      <c r="F1024" s="198"/>
      <c r="G1024" s="198"/>
      <c r="H1024" s="198"/>
      <c r="I1024" s="198"/>
      <c r="J1024" s="198"/>
    </row>
    <row r="1025" spans="2:10" s="15" customFormat="1" x14ac:dyDescent="0.25">
      <c r="B1025" s="26"/>
      <c r="D1025" s="8"/>
      <c r="E1025" s="8"/>
      <c r="F1025" s="198"/>
      <c r="G1025" s="198"/>
      <c r="H1025" s="198"/>
      <c r="I1025" s="198"/>
      <c r="J1025" s="198"/>
    </row>
    <row r="1026" spans="2:10" s="15" customFormat="1" x14ac:dyDescent="0.25">
      <c r="B1026" s="26"/>
      <c r="D1026" s="8"/>
      <c r="E1026" s="8"/>
      <c r="F1026" s="198"/>
      <c r="G1026" s="198"/>
      <c r="H1026" s="198"/>
      <c r="I1026" s="198"/>
      <c r="J1026" s="198"/>
    </row>
    <row r="1027" spans="2:10" s="15" customFormat="1" x14ac:dyDescent="0.25">
      <c r="B1027" s="26"/>
      <c r="D1027" s="8"/>
      <c r="E1027" s="8"/>
      <c r="F1027" s="198"/>
      <c r="G1027" s="198"/>
      <c r="H1027" s="198"/>
      <c r="I1027" s="198"/>
      <c r="J1027" s="198"/>
    </row>
    <row r="1028" spans="2:10" s="15" customFormat="1" x14ac:dyDescent="0.25">
      <c r="B1028" s="26"/>
      <c r="D1028" s="8"/>
      <c r="E1028" s="8"/>
      <c r="F1028" s="198"/>
      <c r="G1028" s="198"/>
      <c r="H1028" s="198"/>
      <c r="I1028" s="198"/>
      <c r="J1028" s="198"/>
    </row>
    <row r="1029" spans="2:10" s="15" customFormat="1" x14ac:dyDescent="0.25">
      <c r="B1029" s="26"/>
      <c r="D1029" s="8"/>
      <c r="E1029" s="8"/>
      <c r="F1029" s="198"/>
      <c r="G1029" s="198"/>
      <c r="H1029" s="198"/>
      <c r="I1029" s="198"/>
      <c r="J1029" s="198"/>
    </row>
    <row r="1030" spans="2:10" s="15" customFormat="1" x14ac:dyDescent="0.25">
      <c r="B1030" s="26"/>
      <c r="D1030" s="8"/>
      <c r="E1030" s="8"/>
      <c r="F1030" s="198"/>
      <c r="G1030" s="198"/>
      <c r="H1030" s="198"/>
      <c r="I1030" s="198"/>
      <c r="J1030" s="198"/>
    </row>
    <row r="1031" spans="2:10" s="15" customFormat="1" x14ac:dyDescent="0.25">
      <c r="B1031" s="26"/>
      <c r="D1031" s="8"/>
      <c r="E1031" s="8"/>
      <c r="F1031" s="198"/>
      <c r="G1031" s="198"/>
      <c r="H1031" s="198"/>
      <c r="I1031" s="198"/>
      <c r="J1031" s="198"/>
    </row>
    <row r="1032" spans="2:10" s="15" customFormat="1" x14ac:dyDescent="0.25">
      <c r="B1032" s="26"/>
      <c r="D1032" s="8"/>
      <c r="E1032" s="8"/>
      <c r="F1032" s="198"/>
      <c r="G1032" s="198"/>
      <c r="H1032" s="198"/>
      <c r="I1032" s="198"/>
      <c r="J1032" s="198"/>
    </row>
    <row r="1033" spans="2:10" s="15" customFormat="1" x14ac:dyDescent="0.25">
      <c r="B1033" s="26"/>
      <c r="D1033" s="8"/>
      <c r="E1033" s="8"/>
      <c r="F1033" s="198"/>
      <c r="G1033" s="198"/>
      <c r="H1033" s="198"/>
      <c r="I1033" s="198"/>
      <c r="J1033" s="198"/>
    </row>
    <row r="1034" spans="2:10" s="15" customFormat="1" x14ac:dyDescent="0.25">
      <c r="B1034" s="26"/>
      <c r="D1034" s="8"/>
      <c r="E1034" s="8"/>
      <c r="F1034" s="198"/>
      <c r="G1034" s="198"/>
      <c r="H1034" s="198"/>
      <c r="I1034" s="198"/>
      <c r="J1034" s="198"/>
    </row>
    <row r="1035" spans="2:10" s="15" customFormat="1" x14ac:dyDescent="0.25">
      <c r="B1035" s="26"/>
      <c r="D1035" s="8"/>
      <c r="E1035" s="8"/>
      <c r="F1035" s="198"/>
      <c r="G1035" s="198"/>
      <c r="H1035" s="198"/>
      <c r="I1035" s="198"/>
      <c r="J1035" s="198"/>
    </row>
    <row r="1036" spans="2:10" s="15" customFormat="1" x14ac:dyDescent="0.25">
      <c r="B1036" s="26"/>
      <c r="D1036" s="8"/>
      <c r="E1036" s="8"/>
      <c r="F1036" s="198"/>
      <c r="G1036" s="198"/>
      <c r="H1036" s="198"/>
      <c r="I1036" s="198"/>
      <c r="J1036" s="198"/>
    </row>
    <row r="1037" spans="2:10" s="15" customFormat="1" x14ac:dyDescent="0.25">
      <c r="B1037" s="26"/>
      <c r="D1037" s="8"/>
      <c r="E1037" s="8"/>
      <c r="F1037" s="198"/>
      <c r="G1037" s="198"/>
      <c r="H1037" s="198"/>
      <c r="I1037" s="198"/>
      <c r="J1037" s="198"/>
    </row>
    <row r="1038" spans="2:10" s="15" customFormat="1" x14ac:dyDescent="0.25">
      <c r="B1038" s="26"/>
      <c r="D1038" s="8"/>
      <c r="E1038" s="8"/>
      <c r="F1038" s="198"/>
      <c r="G1038" s="198"/>
      <c r="H1038" s="198"/>
      <c r="I1038" s="198"/>
      <c r="J1038" s="198"/>
    </row>
    <row r="1039" spans="2:10" s="15" customFormat="1" x14ac:dyDescent="0.25">
      <c r="B1039" s="26"/>
      <c r="D1039" s="8"/>
      <c r="E1039" s="8"/>
      <c r="F1039" s="198"/>
      <c r="G1039" s="198"/>
      <c r="H1039" s="198"/>
      <c r="I1039" s="198"/>
      <c r="J1039" s="198"/>
    </row>
    <row r="1040" spans="2:10" s="15" customFormat="1" x14ac:dyDescent="0.25">
      <c r="B1040" s="26"/>
      <c r="D1040" s="8"/>
      <c r="E1040" s="8"/>
      <c r="F1040" s="198"/>
      <c r="G1040" s="198"/>
      <c r="H1040" s="198"/>
      <c r="I1040" s="198"/>
      <c r="J1040" s="198"/>
    </row>
    <row r="1041" spans="2:10" s="15" customFormat="1" x14ac:dyDescent="0.25">
      <c r="B1041" s="26"/>
      <c r="D1041" s="8"/>
      <c r="E1041" s="8"/>
      <c r="F1041" s="198"/>
      <c r="G1041" s="198"/>
      <c r="H1041" s="198"/>
      <c r="I1041" s="198"/>
      <c r="J1041" s="198"/>
    </row>
    <row r="1042" spans="2:10" s="15" customFormat="1" x14ac:dyDescent="0.25">
      <c r="B1042" s="26"/>
      <c r="D1042" s="8"/>
      <c r="E1042" s="8"/>
      <c r="F1042" s="198"/>
      <c r="G1042" s="198"/>
      <c r="H1042" s="198"/>
      <c r="I1042" s="198"/>
      <c r="J1042" s="198"/>
    </row>
    <row r="1043" spans="2:10" s="15" customFormat="1" x14ac:dyDescent="0.25">
      <c r="B1043" s="26"/>
      <c r="D1043" s="8"/>
      <c r="E1043" s="8"/>
      <c r="F1043" s="198"/>
      <c r="G1043" s="198"/>
      <c r="H1043" s="198"/>
      <c r="I1043" s="198"/>
      <c r="J1043" s="198"/>
    </row>
    <row r="1044" spans="2:10" s="15" customFormat="1" x14ac:dyDescent="0.25">
      <c r="B1044" s="26"/>
      <c r="D1044" s="8"/>
      <c r="E1044" s="8"/>
      <c r="F1044" s="198"/>
      <c r="G1044" s="198"/>
      <c r="H1044" s="198"/>
      <c r="I1044" s="198"/>
      <c r="J1044" s="198"/>
    </row>
    <row r="1045" spans="2:10" s="15" customFormat="1" x14ac:dyDescent="0.25">
      <c r="B1045" s="26"/>
      <c r="D1045" s="8"/>
      <c r="E1045" s="8"/>
      <c r="F1045" s="198"/>
      <c r="G1045" s="198"/>
      <c r="H1045" s="198"/>
      <c r="I1045" s="198"/>
      <c r="J1045" s="198"/>
    </row>
    <row r="1046" spans="2:10" s="15" customFormat="1" x14ac:dyDescent="0.25">
      <c r="B1046" s="26"/>
      <c r="D1046" s="8"/>
      <c r="E1046" s="8"/>
      <c r="F1046" s="198"/>
      <c r="G1046" s="198"/>
      <c r="H1046" s="198"/>
      <c r="I1046" s="198"/>
      <c r="J1046" s="198"/>
    </row>
    <row r="1047" spans="2:10" s="15" customFormat="1" x14ac:dyDescent="0.25">
      <c r="B1047" s="26"/>
      <c r="D1047" s="8"/>
      <c r="E1047" s="8"/>
      <c r="F1047" s="198"/>
      <c r="G1047" s="198"/>
      <c r="H1047" s="198"/>
      <c r="I1047" s="198"/>
      <c r="J1047" s="198"/>
    </row>
    <row r="1048" spans="2:10" s="15" customFormat="1" x14ac:dyDescent="0.25">
      <c r="B1048" s="26"/>
      <c r="D1048" s="8"/>
      <c r="E1048" s="8"/>
      <c r="F1048" s="198"/>
      <c r="G1048" s="198"/>
      <c r="H1048" s="198"/>
      <c r="I1048" s="198"/>
      <c r="J1048" s="198"/>
    </row>
    <row r="1049" spans="2:10" s="15" customFormat="1" x14ac:dyDescent="0.25">
      <c r="B1049" s="26"/>
      <c r="D1049" s="8"/>
      <c r="E1049" s="8"/>
      <c r="F1049" s="198"/>
      <c r="G1049" s="198"/>
      <c r="H1049" s="198"/>
      <c r="I1049" s="198"/>
      <c r="J1049" s="198"/>
    </row>
    <row r="1050" spans="2:10" s="15" customFormat="1" x14ac:dyDescent="0.25">
      <c r="B1050" s="26"/>
      <c r="D1050" s="8"/>
      <c r="E1050" s="8"/>
      <c r="F1050" s="198"/>
      <c r="G1050" s="198"/>
      <c r="H1050" s="198"/>
      <c r="I1050" s="198"/>
      <c r="J1050" s="198"/>
    </row>
    <row r="1051" spans="2:10" s="15" customFormat="1" x14ac:dyDescent="0.25">
      <c r="B1051" s="26"/>
      <c r="D1051" s="8"/>
      <c r="E1051" s="8"/>
      <c r="F1051" s="198"/>
      <c r="G1051" s="198"/>
      <c r="H1051" s="198"/>
      <c r="I1051" s="198"/>
      <c r="J1051" s="198"/>
    </row>
    <row r="1052" spans="2:10" s="15" customFormat="1" x14ac:dyDescent="0.25">
      <c r="B1052" s="26"/>
      <c r="D1052" s="8"/>
      <c r="E1052" s="8"/>
      <c r="F1052" s="198"/>
      <c r="G1052" s="198"/>
      <c r="H1052" s="198"/>
      <c r="I1052" s="198"/>
      <c r="J1052" s="198"/>
    </row>
    <row r="1053" spans="2:10" s="15" customFormat="1" x14ac:dyDescent="0.25">
      <c r="B1053" s="26"/>
      <c r="D1053" s="8"/>
      <c r="E1053" s="8"/>
      <c r="F1053" s="198"/>
      <c r="G1053" s="198"/>
      <c r="H1053" s="198"/>
      <c r="I1053" s="198"/>
      <c r="J1053" s="198"/>
    </row>
    <row r="1054" spans="2:10" s="15" customFormat="1" x14ac:dyDescent="0.25">
      <c r="B1054" s="26"/>
      <c r="D1054" s="8"/>
      <c r="E1054" s="8"/>
      <c r="F1054" s="198"/>
      <c r="G1054" s="198"/>
      <c r="H1054" s="198"/>
      <c r="I1054" s="198"/>
      <c r="J1054" s="198"/>
    </row>
    <row r="1055" spans="2:10" s="15" customFormat="1" x14ac:dyDescent="0.25">
      <c r="B1055" s="26"/>
      <c r="D1055" s="8"/>
      <c r="E1055" s="8"/>
      <c r="F1055" s="198"/>
      <c r="G1055" s="198"/>
      <c r="H1055" s="198"/>
      <c r="I1055" s="198"/>
      <c r="J1055" s="198"/>
    </row>
    <row r="1056" spans="2:10" s="15" customFormat="1" x14ac:dyDescent="0.25">
      <c r="B1056" s="26"/>
      <c r="D1056" s="8"/>
      <c r="E1056" s="8"/>
      <c r="F1056" s="198"/>
      <c r="G1056" s="198"/>
      <c r="H1056" s="198"/>
      <c r="I1056" s="198"/>
      <c r="J1056" s="198"/>
    </row>
    <row r="1057" spans="2:10" s="15" customFormat="1" x14ac:dyDescent="0.25">
      <c r="B1057" s="26"/>
      <c r="D1057" s="8"/>
      <c r="E1057" s="8"/>
      <c r="F1057" s="198"/>
      <c r="G1057" s="198"/>
      <c r="H1057" s="198"/>
      <c r="I1057" s="198"/>
      <c r="J1057" s="198"/>
    </row>
    <row r="1058" spans="2:10" s="15" customFormat="1" x14ac:dyDescent="0.25">
      <c r="B1058" s="26"/>
      <c r="D1058" s="8"/>
      <c r="E1058" s="8"/>
      <c r="F1058" s="198"/>
      <c r="G1058" s="198"/>
      <c r="H1058" s="198"/>
      <c r="I1058" s="198"/>
      <c r="J1058" s="198"/>
    </row>
    <row r="1059" spans="2:10" s="15" customFormat="1" x14ac:dyDescent="0.25">
      <c r="B1059" s="26"/>
      <c r="D1059" s="8"/>
      <c r="E1059" s="8"/>
      <c r="F1059" s="198"/>
      <c r="G1059" s="198"/>
      <c r="H1059" s="198"/>
      <c r="I1059" s="198"/>
      <c r="J1059" s="198"/>
    </row>
    <row r="1060" spans="2:10" s="15" customFormat="1" x14ac:dyDescent="0.25">
      <c r="B1060" s="26"/>
      <c r="D1060" s="8"/>
      <c r="E1060" s="8"/>
      <c r="F1060" s="198"/>
      <c r="G1060" s="198"/>
      <c r="H1060" s="198"/>
      <c r="I1060" s="198"/>
      <c r="J1060" s="198"/>
    </row>
    <row r="1061" spans="2:10" s="15" customFormat="1" x14ac:dyDescent="0.25">
      <c r="B1061" s="26"/>
      <c r="D1061" s="8"/>
      <c r="E1061" s="8"/>
      <c r="F1061" s="198"/>
      <c r="G1061" s="198"/>
      <c r="H1061" s="198"/>
      <c r="I1061" s="198"/>
      <c r="J1061" s="198"/>
    </row>
    <row r="1062" spans="2:10" s="15" customFormat="1" x14ac:dyDescent="0.25">
      <c r="B1062" s="26"/>
      <c r="D1062" s="8"/>
      <c r="E1062" s="8"/>
      <c r="F1062" s="198"/>
      <c r="G1062" s="198"/>
      <c r="H1062" s="198"/>
      <c r="I1062" s="198"/>
      <c r="J1062" s="198"/>
    </row>
    <row r="1063" spans="2:10" s="15" customFormat="1" x14ac:dyDescent="0.25">
      <c r="B1063" s="26"/>
      <c r="D1063" s="8"/>
      <c r="E1063" s="8"/>
      <c r="F1063" s="198"/>
      <c r="G1063" s="198"/>
      <c r="H1063" s="198"/>
      <c r="I1063" s="198"/>
      <c r="J1063" s="198"/>
    </row>
    <row r="1064" spans="2:10" s="15" customFormat="1" x14ac:dyDescent="0.25">
      <c r="B1064" s="26"/>
      <c r="D1064" s="8"/>
      <c r="E1064" s="8"/>
      <c r="F1064" s="198"/>
      <c r="G1064" s="198"/>
      <c r="H1064" s="198"/>
      <c r="I1064" s="198"/>
      <c r="J1064" s="198"/>
    </row>
    <row r="1065" spans="2:10" s="15" customFormat="1" x14ac:dyDescent="0.25">
      <c r="B1065" s="26"/>
      <c r="D1065" s="8"/>
      <c r="E1065" s="8"/>
      <c r="F1065" s="198"/>
      <c r="G1065" s="198"/>
      <c r="H1065" s="198"/>
      <c r="I1065" s="198"/>
      <c r="J1065" s="198"/>
    </row>
    <row r="1066" spans="2:10" s="15" customFormat="1" x14ac:dyDescent="0.25">
      <c r="B1066" s="26"/>
      <c r="D1066" s="8"/>
      <c r="E1066" s="8"/>
      <c r="F1066" s="198"/>
      <c r="G1066" s="198"/>
      <c r="H1066" s="198"/>
      <c r="I1066" s="198"/>
      <c r="J1066" s="198"/>
    </row>
    <row r="1067" spans="2:10" s="15" customFormat="1" x14ac:dyDescent="0.25">
      <c r="B1067" s="26"/>
      <c r="D1067" s="8"/>
      <c r="E1067" s="8"/>
      <c r="F1067" s="198"/>
      <c r="G1067" s="198"/>
      <c r="H1067" s="198"/>
      <c r="I1067" s="198"/>
      <c r="J1067" s="198"/>
    </row>
    <row r="1068" spans="2:10" s="15" customFormat="1" x14ac:dyDescent="0.25">
      <c r="B1068" s="26"/>
      <c r="D1068" s="8"/>
      <c r="E1068" s="8"/>
      <c r="F1068" s="198"/>
      <c r="G1068" s="198"/>
      <c r="H1068" s="198"/>
      <c r="I1068" s="198"/>
      <c r="J1068" s="198"/>
    </row>
    <row r="1069" spans="2:10" s="15" customFormat="1" x14ac:dyDescent="0.25">
      <c r="B1069" s="26"/>
      <c r="D1069" s="8"/>
      <c r="E1069" s="8"/>
      <c r="F1069" s="198"/>
      <c r="G1069" s="198"/>
      <c r="H1069" s="198"/>
      <c r="I1069" s="198"/>
      <c r="J1069" s="198"/>
    </row>
    <row r="1070" spans="2:10" s="15" customFormat="1" x14ac:dyDescent="0.25">
      <c r="B1070" s="26"/>
      <c r="D1070" s="8"/>
      <c r="E1070" s="8"/>
      <c r="F1070" s="198"/>
      <c r="G1070" s="198"/>
      <c r="H1070" s="198"/>
      <c r="I1070" s="198"/>
      <c r="J1070" s="198"/>
    </row>
    <row r="1071" spans="2:10" s="15" customFormat="1" x14ac:dyDescent="0.25">
      <c r="B1071" s="26"/>
      <c r="D1071" s="8"/>
      <c r="E1071" s="8"/>
      <c r="F1071" s="198"/>
      <c r="G1071" s="198"/>
      <c r="H1071" s="198"/>
      <c r="I1071" s="198"/>
      <c r="J1071" s="198"/>
    </row>
    <row r="1072" spans="2:10" s="15" customFormat="1" x14ac:dyDescent="0.25">
      <c r="B1072" s="26"/>
      <c r="D1072" s="8"/>
      <c r="E1072" s="8"/>
      <c r="F1072" s="198"/>
      <c r="G1072" s="198"/>
      <c r="H1072" s="198"/>
      <c r="I1072" s="198"/>
      <c r="J1072" s="198"/>
    </row>
    <row r="1073" spans="2:10" s="15" customFormat="1" x14ac:dyDescent="0.25">
      <c r="B1073" s="26"/>
      <c r="D1073" s="8"/>
      <c r="E1073" s="8"/>
      <c r="F1073" s="198"/>
      <c r="G1073" s="198"/>
      <c r="H1073" s="198"/>
      <c r="I1073" s="198"/>
      <c r="J1073" s="198"/>
    </row>
    <row r="1074" spans="2:10" s="15" customFormat="1" x14ac:dyDescent="0.25">
      <c r="B1074" s="26"/>
      <c r="D1074" s="8"/>
      <c r="E1074" s="8"/>
      <c r="F1074" s="198"/>
      <c r="G1074" s="198"/>
      <c r="H1074" s="198"/>
      <c r="I1074" s="198"/>
      <c r="J1074" s="198"/>
    </row>
    <row r="1075" spans="2:10" s="15" customFormat="1" x14ac:dyDescent="0.25">
      <c r="B1075" s="26"/>
      <c r="D1075" s="8"/>
      <c r="E1075" s="8"/>
      <c r="F1075" s="198"/>
      <c r="G1075" s="198"/>
      <c r="H1075" s="198"/>
      <c r="I1075" s="198"/>
      <c r="J1075" s="198"/>
    </row>
    <row r="1076" spans="2:10" s="15" customFormat="1" x14ac:dyDescent="0.25">
      <c r="B1076" s="26"/>
      <c r="D1076" s="8"/>
      <c r="E1076" s="8"/>
      <c r="F1076" s="198"/>
      <c r="G1076" s="198"/>
      <c r="H1076" s="198"/>
      <c r="I1076" s="198"/>
      <c r="J1076" s="198"/>
    </row>
    <row r="1077" spans="2:10" s="15" customFormat="1" x14ac:dyDescent="0.25">
      <c r="B1077" s="26"/>
      <c r="D1077" s="8"/>
      <c r="E1077" s="8"/>
      <c r="F1077" s="198"/>
      <c r="G1077" s="198"/>
      <c r="H1077" s="198"/>
      <c r="I1077" s="198"/>
      <c r="J1077" s="198"/>
    </row>
    <row r="1078" spans="2:10" s="15" customFormat="1" x14ac:dyDescent="0.25">
      <c r="B1078" s="26"/>
      <c r="D1078" s="8"/>
      <c r="E1078" s="8"/>
      <c r="F1078" s="198"/>
      <c r="G1078" s="198"/>
      <c r="H1078" s="198"/>
      <c r="I1078" s="198"/>
      <c r="J1078" s="198"/>
    </row>
    <row r="1079" spans="2:10" s="15" customFormat="1" x14ac:dyDescent="0.25">
      <c r="B1079" s="26"/>
      <c r="D1079" s="8"/>
      <c r="E1079" s="8"/>
      <c r="F1079" s="198"/>
      <c r="G1079" s="198"/>
      <c r="H1079" s="198"/>
      <c r="I1079" s="198"/>
      <c r="J1079" s="198"/>
    </row>
    <row r="1080" spans="2:10" s="15" customFormat="1" x14ac:dyDescent="0.25">
      <c r="B1080" s="26"/>
      <c r="D1080" s="8"/>
      <c r="E1080" s="8"/>
      <c r="F1080" s="198"/>
      <c r="G1080" s="198"/>
      <c r="H1080" s="198"/>
      <c r="I1080" s="198"/>
      <c r="J1080" s="198"/>
    </row>
    <row r="1081" spans="2:10" s="15" customFormat="1" x14ac:dyDescent="0.25">
      <c r="B1081" s="26"/>
      <c r="D1081" s="8"/>
      <c r="E1081" s="8"/>
      <c r="F1081" s="198"/>
      <c r="G1081" s="198"/>
      <c r="H1081" s="198"/>
      <c r="I1081" s="198"/>
      <c r="J1081" s="198"/>
    </row>
    <row r="1082" spans="2:10" s="15" customFormat="1" x14ac:dyDescent="0.25">
      <c r="B1082" s="26"/>
      <c r="D1082" s="8"/>
      <c r="E1082" s="8"/>
      <c r="F1082" s="198"/>
      <c r="G1082" s="198"/>
      <c r="H1082" s="198"/>
      <c r="I1082" s="198"/>
      <c r="J1082" s="198"/>
    </row>
    <row r="1083" spans="2:10" s="15" customFormat="1" x14ac:dyDescent="0.25">
      <c r="B1083" s="26"/>
      <c r="D1083" s="8"/>
      <c r="E1083" s="8"/>
      <c r="F1083" s="198"/>
      <c r="G1083" s="198"/>
      <c r="H1083" s="198"/>
      <c r="I1083" s="198"/>
      <c r="J1083" s="198"/>
    </row>
    <row r="1084" spans="2:10" s="15" customFormat="1" x14ac:dyDescent="0.25">
      <c r="B1084" s="26"/>
      <c r="D1084" s="8"/>
      <c r="E1084" s="8"/>
      <c r="F1084" s="198"/>
      <c r="G1084" s="198"/>
      <c r="H1084" s="198"/>
      <c r="I1084" s="198"/>
      <c r="J1084" s="198"/>
    </row>
    <row r="1085" spans="2:10" s="15" customFormat="1" x14ac:dyDescent="0.25">
      <c r="B1085" s="26"/>
      <c r="D1085" s="8"/>
      <c r="E1085" s="8"/>
      <c r="F1085" s="198"/>
      <c r="G1085" s="198"/>
      <c r="H1085" s="198"/>
      <c r="I1085" s="198"/>
      <c r="J1085" s="198"/>
    </row>
    <row r="1086" spans="2:10" s="15" customFormat="1" x14ac:dyDescent="0.25">
      <c r="B1086" s="26"/>
      <c r="D1086" s="8"/>
      <c r="E1086" s="8"/>
      <c r="F1086" s="198"/>
      <c r="G1086" s="198"/>
      <c r="H1086" s="198"/>
      <c r="I1086" s="198"/>
      <c r="J1086" s="198"/>
    </row>
    <row r="1087" spans="2:10" s="15" customFormat="1" x14ac:dyDescent="0.25">
      <c r="B1087" s="26"/>
      <c r="D1087" s="8"/>
      <c r="E1087" s="8"/>
      <c r="F1087" s="198"/>
      <c r="G1087" s="198"/>
      <c r="H1087" s="198"/>
      <c r="I1087" s="198"/>
      <c r="J1087" s="198"/>
    </row>
    <row r="1088" spans="2:10" s="15" customFormat="1" x14ac:dyDescent="0.25">
      <c r="B1088" s="26"/>
      <c r="D1088" s="8"/>
      <c r="E1088" s="8"/>
      <c r="F1088" s="198"/>
      <c r="G1088" s="198"/>
      <c r="H1088" s="198"/>
      <c r="I1088" s="198"/>
      <c r="J1088" s="198"/>
    </row>
    <row r="1089" spans="2:10" s="15" customFormat="1" x14ac:dyDescent="0.25">
      <c r="B1089" s="26"/>
      <c r="D1089" s="8"/>
      <c r="E1089" s="8"/>
      <c r="F1089" s="198"/>
      <c r="G1089" s="198"/>
      <c r="H1089" s="198"/>
      <c r="I1089" s="198"/>
      <c r="J1089" s="198"/>
    </row>
    <row r="1090" spans="2:10" s="15" customFormat="1" x14ac:dyDescent="0.25">
      <c r="B1090" s="26"/>
      <c r="D1090" s="8"/>
      <c r="E1090" s="8"/>
      <c r="F1090" s="198"/>
      <c r="G1090" s="198"/>
      <c r="H1090" s="198"/>
      <c r="I1090" s="198"/>
      <c r="J1090" s="198"/>
    </row>
    <row r="1091" spans="2:10" s="15" customFormat="1" x14ac:dyDescent="0.25">
      <c r="B1091" s="26"/>
      <c r="D1091" s="8"/>
      <c r="E1091" s="8"/>
      <c r="F1091" s="198"/>
      <c r="G1091" s="198"/>
      <c r="H1091" s="198"/>
      <c r="I1091" s="198"/>
      <c r="J1091" s="198"/>
    </row>
    <row r="1092" spans="2:10" s="15" customFormat="1" x14ac:dyDescent="0.25">
      <c r="B1092" s="26"/>
      <c r="D1092" s="8"/>
      <c r="E1092" s="8"/>
      <c r="F1092" s="198"/>
      <c r="G1092" s="198"/>
      <c r="H1092" s="198"/>
      <c r="I1092" s="198"/>
      <c r="J1092" s="198"/>
    </row>
    <row r="1093" spans="2:10" s="15" customFormat="1" x14ac:dyDescent="0.25">
      <c r="B1093" s="26"/>
      <c r="D1093" s="8"/>
      <c r="E1093" s="8"/>
      <c r="F1093" s="198"/>
      <c r="G1093" s="198"/>
      <c r="H1093" s="198"/>
      <c r="I1093" s="198"/>
      <c r="J1093" s="198"/>
    </row>
    <row r="1094" spans="2:10" s="15" customFormat="1" x14ac:dyDescent="0.25">
      <c r="B1094" s="26"/>
      <c r="D1094" s="8"/>
      <c r="E1094" s="8"/>
      <c r="F1094" s="198"/>
      <c r="G1094" s="198"/>
      <c r="H1094" s="198"/>
      <c r="I1094" s="198"/>
      <c r="J1094" s="198"/>
    </row>
    <row r="1095" spans="2:10" s="15" customFormat="1" x14ac:dyDescent="0.25">
      <c r="B1095" s="26"/>
      <c r="D1095" s="8"/>
      <c r="E1095" s="8"/>
      <c r="F1095" s="198"/>
      <c r="G1095" s="198"/>
      <c r="H1095" s="198"/>
      <c r="I1095" s="198"/>
      <c r="J1095" s="198"/>
    </row>
    <row r="1096" spans="2:10" s="15" customFormat="1" x14ac:dyDescent="0.25">
      <c r="B1096" s="26"/>
      <c r="D1096" s="8"/>
      <c r="E1096" s="8"/>
      <c r="F1096" s="198"/>
      <c r="G1096" s="198"/>
      <c r="H1096" s="198"/>
      <c r="I1096" s="198"/>
      <c r="J1096" s="198"/>
    </row>
    <row r="1097" spans="2:10" s="15" customFormat="1" x14ac:dyDescent="0.25">
      <c r="B1097" s="26"/>
      <c r="D1097" s="8"/>
      <c r="E1097" s="8"/>
      <c r="F1097" s="198"/>
      <c r="G1097" s="198"/>
      <c r="H1097" s="198"/>
      <c r="I1097" s="198"/>
      <c r="J1097" s="198"/>
    </row>
    <row r="1098" spans="2:10" s="15" customFormat="1" x14ac:dyDescent="0.25">
      <c r="B1098" s="26"/>
      <c r="D1098" s="8"/>
      <c r="E1098" s="8"/>
      <c r="F1098" s="198"/>
      <c r="G1098" s="198"/>
      <c r="H1098" s="198"/>
      <c r="I1098" s="198"/>
      <c r="J1098" s="198"/>
    </row>
    <row r="1099" spans="2:10" s="15" customFormat="1" x14ac:dyDescent="0.25">
      <c r="B1099" s="26"/>
      <c r="D1099" s="8"/>
      <c r="E1099" s="8"/>
      <c r="F1099" s="198"/>
      <c r="G1099" s="198"/>
      <c r="H1099" s="198"/>
      <c r="I1099" s="198"/>
      <c r="J1099" s="198"/>
    </row>
    <row r="1100" spans="2:10" s="15" customFormat="1" x14ac:dyDescent="0.25">
      <c r="B1100" s="26"/>
      <c r="D1100" s="8"/>
      <c r="E1100" s="8"/>
      <c r="F1100" s="198"/>
      <c r="G1100" s="198"/>
      <c r="H1100" s="198"/>
      <c r="I1100" s="198"/>
      <c r="J1100" s="198"/>
    </row>
    <row r="1101" spans="2:10" s="15" customFormat="1" x14ac:dyDescent="0.25">
      <c r="B1101" s="26"/>
      <c r="D1101" s="8"/>
      <c r="E1101" s="8"/>
      <c r="F1101" s="198"/>
      <c r="G1101" s="198"/>
      <c r="H1101" s="198"/>
      <c r="I1101" s="198"/>
      <c r="J1101" s="198"/>
    </row>
    <row r="1102" spans="2:10" s="15" customFormat="1" x14ac:dyDescent="0.25">
      <c r="B1102" s="26"/>
      <c r="D1102" s="8"/>
      <c r="E1102" s="8"/>
      <c r="F1102" s="198"/>
      <c r="G1102" s="198"/>
      <c r="H1102" s="198"/>
      <c r="I1102" s="198"/>
      <c r="J1102" s="198"/>
    </row>
    <row r="1103" spans="2:10" s="15" customFormat="1" x14ac:dyDescent="0.25">
      <c r="B1103" s="26"/>
      <c r="D1103" s="8"/>
      <c r="E1103" s="8"/>
      <c r="F1103" s="198"/>
      <c r="G1103" s="198"/>
      <c r="H1103" s="198"/>
      <c r="I1103" s="198"/>
      <c r="J1103" s="198"/>
    </row>
    <row r="1104" spans="2:10" s="15" customFormat="1" x14ac:dyDescent="0.25">
      <c r="B1104" s="26"/>
      <c r="D1104" s="8"/>
      <c r="E1104" s="8"/>
      <c r="F1104" s="198"/>
      <c r="G1104" s="198"/>
      <c r="H1104" s="198"/>
      <c r="I1104" s="198"/>
      <c r="J1104" s="198"/>
    </row>
    <row r="1105" spans="2:10" s="15" customFormat="1" x14ac:dyDescent="0.25">
      <c r="B1105" s="26"/>
      <c r="D1105" s="8"/>
      <c r="E1105" s="8"/>
      <c r="F1105" s="198"/>
      <c r="G1105" s="198"/>
      <c r="H1105" s="198"/>
      <c r="I1105" s="198"/>
      <c r="J1105" s="198"/>
    </row>
    <row r="1106" spans="2:10" s="15" customFormat="1" x14ac:dyDescent="0.25">
      <c r="B1106" s="26"/>
      <c r="D1106" s="8"/>
      <c r="E1106" s="8"/>
      <c r="F1106" s="198"/>
      <c r="G1106" s="198"/>
      <c r="H1106" s="198"/>
      <c r="I1106" s="198"/>
      <c r="J1106" s="198"/>
    </row>
    <row r="1107" spans="2:10" s="15" customFormat="1" x14ac:dyDescent="0.25">
      <c r="B1107" s="26"/>
      <c r="D1107" s="8"/>
      <c r="E1107" s="8"/>
      <c r="F1107" s="198"/>
      <c r="G1107" s="198"/>
      <c r="H1107" s="198"/>
      <c r="I1107" s="198"/>
      <c r="J1107" s="198"/>
    </row>
    <row r="1108" spans="2:10" s="15" customFormat="1" x14ac:dyDescent="0.25">
      <c r="B1108" s="26"/>
      <c r="D1108" s="8"/>
      <c r="E1108" s="8"/>
      <c r="F1108" s="198"/>
      <c r="G1108" s="198"/>
      <c r="H1108" s="198"/>
      <c r="I1108" s="198"/>
      <c r="J1108" s="198"/>
    </row>
    <row r="1109" spans="2:10" s="15" customFormat="1" x14ac:dyDescent="0.25">
      <c r="B1109" s="26"/>
      <c r="D1109" s="8"/>
      <c r="E1109" s="8"/>
      <c r="F1109" s="198"/>
      <c r="G1109" s="198"/>
      <c r="H1109" s="198"/>
      <c r="I1109" s="198"/>
      <c r="J1109" s="198"/>
    </row>
    <row r="1110" spans="2:10" s="15" customFormat="1" x14ac:dyDescent="0.25">
      <c r="B1110" s="26"/>
      <c r="D1110" s="8"/>
      <c r="E1110" s="8"/>
      <c r="F1110" s="198"/>
      <c r="G1110" s="198"/>
      <c r="H1110" s="198"/>
      <c r="I1110" s="198"/>
      <c r="J1110" s="198"/>
    </row>
    <row r="1111" spans="2:10" s="15" customFormat="1" x14ac:dyDescent="0.25">
      <c r="B1111" s="26"/>
      <c r="D1111" s="8"/>
      <c r="E1111" s="8"/>
      <c r="F1111" s="198"/>
      <c r="G1111" s="198"/>
      <c r="H1111" s="198"/>
      <c r="I1111" s="198"/>
      <c r="J1111" s="198"/>
    </row>
    <row r="1112" spans="2:10" s="15" customFormat="1" x14ac:dyDescent="0.25">
      <c r="B1112" s="26"/>
      <c r="D1112" s="8"/>
      <c r="E1112" s="8"/>
      <c r="F1112" s="198"/>
      <c r="G1112" s="198"/>
      <c r="H1112" s="198"/>
      <c r="I1112" s="198"/>
      <c r="J1112" s="198"/>
    </row>
    <row r="1113" spans="2:10" s="15" customFormat="1" x14ac:dyDescent="0.25">
      <c r="B1113" s="26"/>
      <c r="D1113" s="8"/>
      <c r="E1113" s="8"/>
      <c r="F1113" s="198"/>
      <c r="G1113" s="198"/>
      <c r="H1113" s="198"/>
      <c r="I1113" s="198"/>
      <c r="J1113" s="198"/>
    </row>
    <row r="1114" spans="2:10" s="15" customFormat="1" x14ac:dyDescent="0.25">
      <c r="B1114" s="26"/>
      <c r="D1114" s="8"/>
      <c r="E1114" s="8"/>
      <c r="F1114" s="198"/>
      <c r="G1114" s="198"/>
      <c r="H1114" s="198"/>
      <c r="I1114" s="198"/>
      <c r="J1114" s="198"/>
    </row>
    <row r="1115" spans="2:10" s="15" customFormat="1" x14ac:dyDescent="0.25">
      <c r="B1115" s="26"/>
      <c r="D1115" s="8"/>
      <c r="E1115" s="8"/>
      <c r="F1115" s="198"/>
      <c r="G1115" s="198"/>
      <c r="H1115" s="198"/>
      <c r="I1115" s="198"/>
      <c r="J1115" s="198"/>
    </row>
    <row r="1116" spans="2:10" s="15" customFormat="1" x14ac:dyDescent="0.25">
      <c r="B1116" s="26"/>
      <c r="D1116" s="8"/>
      <c r="E1116" s="8"/>
      <c r="F1116" s="198"/>
      <c r="G1116" s="198"/>
      <c r="H1116" s="198"/>
      <c r="I1116" s="198"/>
      <c r="J1116" s="198"/>
    </row>
    <row r="1117" spans="2:10" s="15" customFormat="1" x14ac:dyDescent="0.25">
      <c r="B1117" s="26"/>
      <c r="D1117" s="8"/>
      <c r="E1117" s="8"/>
      <c r="F1117" s="198"/>
      <c r="G1117" s="198"/>
      <c r="H1117" s="198"/>
      <c r="I1117" s="198"/>
      <c r="J1117" s="198"/>
    </row>
    <row r="1118" spans="2:10" s="15" customFormat="1" x14ac:dyDescent="0.25">
      <c r="B1118" s="26"/>
      <c r="D1118" s="8"/>
      <c r="E1118" s="8"/>
      <c r="F1118" s="198"/>
      <c r="G1118" s="198"/>
      <c r="H1118" s="198"/>
      <c r="I1118" s="198"/>
      <c r="J1118" s="198"/>
    </row>
    <row r="1119" spans="2:10" s="15" customFormat="1" x14ac:dyDescent="0.25">
      <c r="B1119" s="26"/>
      <c r="D1119" s="8"/>
      <c r="E1119" s="8"/>
      <c r="F1119" s="198"/>
      <c r="G1119" s="198"/>
      <c r="H1119" s="198"/>
      <c r="I1119" s="198"/>
      <c r="J1119" s="198"/>
    </row>
    <row r="1120" spans="2:10" s="15" customFormat="1" x14ac:dyDescent="0.25">
      <c r="B1120" s="26"/>
      <c r="D1120" s="8"/>
      <c r="E1120" s="8"/>
      <c r="F1120" s="198"/>
      <c r="G1120" s="198"/>
      <c r="H1120" s="198"/>
      <c r="I1120" s="198"/>
      <c r="J1120" s="198"/>
    </row>
    <row r="1121" spans="2:10" s="15" customFormat="1" x14ac:dyDescent="0.25">
      <c r="B1121" s="26"/>
      <c r="D1121" s="8"/>
      <c r="E1121" s="8"/>
      <c r="F1121" s="198"/>
      <c r="G1121" s="198"/>
      <c r="H1121" s="198"/>
      <c r="I1121" s="198"/>
      <c r="J1121" s="198"/>
    </row>
    <row r="1122" spans="2:10" s="15" customFormat="1" x14ac:dyDescent="0.25">
      <c r="B1122" s="26"/>
      <c r="D1122" s="8"/>
      <c r="E1122" s="8"/>
      <c r="F1122" s="198"/>
      <c r="G1122" s="198"/>
      <c r="H1122" s="198"/>
      <c r="I1122" s="198"/>
      <c r="J1122" s="198"/>
    </row>
    <row r="1123" spans="2:10" s="15" customFormat="1" x14ac:dyDescent="0.25">
      <c r="B1123" s="26"/>
      <c r="D1123" s="8"/>
      <c r="E1123" s="8"/>
      <c r="F1123" s="198"/>
      <c r="G1123" s="198"/>
      <c r="H1123" s="198"/>
      <c r="I1123" s="198"/>
      <c r="J1123" s="198"/>
    </row>
    <row r="1124" spans="2:10" s="15" customFormat="1" x14ac:dyDescent="0.25">
      <c r="B1124" s="26"/>
      <c r="D1124" s="8"/>
      <c r="E1124" s="8"/>
      <c r="F1124" s="198"/>
      <c r="G1124" s="198"/>
      <c r="H1124" s="198"/>
      <c r="I1124" s="198"/>
      <c r="J1124" s="198"/>
    </row>
    <row r="1125" spans="2:10" s="15" customFormat="1" x14ac:dyDescent="0.25">
      <c r="B1125" s="26"/>
      <c r="D1125" s="8"/>
      <c r="E1125" s="8"/>
      <c r="F1125" s="198"/>
      <c r="G1125" s="198"/>
      <c r="H1125" s="198"/>
      <c r="I1125" s="198"/>
      <c r="J1125" s="198"/>
    </row>
    <row r="1126" spans="2:10" s="15" customFormat="1" x14ac:dyDescent="0.25">
      <c r="B1126" s="26"/>
      <c r="D1126" s="8"/>
      <c r="E1126" s="8"/>
      <c r="F1126" s="198"/>
      <c r="G1126" s="198"/>
      <c r="H1126" s="198"/>
      <c r="I1126" s="198"/>
      <c r="J1126" s="198"/>
    </row>
    <row r="1127" spans="2:10" s="15" customFormat="1" x14ac:dyDescent="0.25">
      <c r="B1127" s="26"/>
      <c r="D1127" s="8"/>
      <c r="E1127" s="8"/>
      <c r="F1127" s="198"/>
      <c r="G1127" s="198"/>
      <c r="H1127" s="198"/>
      <c r="I1127" s="198"/>
      <c r="J1127" s="198"/>
    </row>
    <row r="1128" spans="2:10" s="15" customFormat="1" x14ac:dyDescent="0.25">
      <c r="B1128" s="26"/>
      <c r="D1128" s="8"/>
      <c r="E1128" s="8"/>
      <c r="F1128" s="198"/>
      <c r="G1128" s="198"/>
      <c r="H1128" s="198"/>
      <c r="I1128" s="198"/>
      <c r="J1128" s="198"/>
    </row>
    <row r="1129" spans="2:10" s="15" customFormat="1" x14ac:dyDescent="0.25">
      <c r="B1129" s="26"/>
      <c r="D1129" s="8"/>
      <c r="E1129" s="8"/>
      <c r="F1129" s="198"/>
      <c r="G1129" s="198"/>
      <c r="H1129" s="198"/>
      <c r="I1129" s="198"/>
      <c r="J1129" s="198"/>
    </row>
    <row r="1130" spans="2:10" s="15" customFormat="1" x14ac:dyDescent="0.25">
      <c r="B1130" s="26"/>
      <c r="D1130" s="8"/>
      <c r="E1130" s="8"/>
      <c r="F1130" s="198"/>
      <c r="G1130" s="198"/>
      <c r="H1130" s="198"/>
      <c r="I1130" s="198"/>
      <c r="J1130" s="198"/>
    </row>
    <row r="1131" spans="2:10" s="15" customFormat="1" x14ac:dyDescent="0.25">
      <c r="B1131" s="26"/>
      <c r="D1131" s="8"/>
      <c r="E1131" s="8"/>
      <c r="F1131" s="198"/>
      <c r="G1131" s="198"/>
      <c r="H1131" s="198"/>
      <c r="I1131" s="198"/>
      <c r="J1131" s="198"/>
    </row>
    <row r="1132" spans="2:10" s="15" customFormat="1" x14ac:dyDescent="0.25">
      <c r="B1132" s="26"/>
      <c r="D1132" s="8"/>
      <c r="E1132" s="8"/>
      <c r="F1132" s="198"/>
      <c r="G1132" s="198"/>
      <c r="H1132" s="198"/>
      <c r="I1132" s="198"/>
      <c r="J1132" s="198"/>
    </row>
    <row r="1133" spans="2:10" s="15" customFormat="1" x14ac:dyDescent="0.25">
      <c r="B1133" s="26"/>
      <c r="D1133" s="8"/>
      <c r="E1133" s="8"/>
      <c r="F1133" s="198"/>
      <c r="G1133" s="198"/>
      <c r="H1133" s="198"/>
      <c r="I1133" s="198"/>
      <c r="J1133" s="198"/>
    </row>
    <row r="1134" spans="2:10" s="15" customFormat="1" x14ac:dyDescent="0.25">
      <c r="B1134" s="26"/>
      <c r="D1134" s="8"/>
      <c r="E1134" s="8"/>
      <c r="F1134" s="198"/>
      <c r="G1134" s="198"/>
      <c r="H1134" s="198"/>
      <c r="I1134" s="198"/>
      <c r="J1134" s="198"/>
    </row>
    <row r="1135" spans="2:10" s="15" customFormat="1" x14ac:dyDescent="0.25">
      <c r="B1135" s="26"/>
      <c r="D1135" s="8"/>
      <c r="E1135" s="8"/>
      <c r="F1135" s="198"/>
      <c r="G1135" s="198"/>
      <c r="H1135" s="198"/>
      <c r="I1135" s="198"/>
      <c r="J1135" s="198"/>
    </row>
    <row r="1136" spans="2:10" s="15" customFormat="1" x14ac:dyDescent="0.25">
      <c r="B1136" s="26"/>
      <c r="D1136" s="8"/>
      <c r="E1136" s="8"/>
      <c r="F1136" s="198"/>
      <c r="G1136" s="198"/>
      <c r="H1136" s="198"/>
      <c r="I1136" s="198"/>
      <c r="J1136" s="198"/>
    </row>
    <row r="1137" spans="2:10" s="15" customFormat="1" x14ac:dyDescent="0.25">
      <c r="B1137" s="26"/>
      <c r="D1137" s="8"/>
      <c r="E1137" s="8"/>
      <c r="F1137" s="198"/>
      <c r="G1137" s="198"/>
      <c r="H1137" s="198"/>
      <c r="I1137" s="198"/>
      <c r="J1137" s="198"/>
    </row>
    <row r="1138" spans="2:10" s="15" customFormat="1" x14ac:dyDescent="0.25">
      <c r="B1138" s="26"/>
      <c r="D1138" s="8"/>
      <c r="E1138" s="8"/>
      <c r="F1138" s="198"/>
      <c r="G1138" s="198"/>
      <c r="H1138" s="198"/>
      <c r="I1138" s="198"/>
      <c r="J1138" s="198"/>
    </row>
    <row r="1139" spans="2:10" s="15" customFormat="1" x14ac:dyDescent="0.25">
      <c r="B1139" s="26"/>
      <c r="D1139" s="8"/>
      <c r="E1139" s="8"/>
      <c r="F1139" s="198"/>
      <c r="G1139" s="198"/>
      <c r="H1139" s="198"/>
      <c r="I1139" s="198"/>
      <c r="J1139" s="198"/>
    </row>
    <row r="1140" spans="2:10" s="15" customFormat="1" x14ac:dyDescent="0.25">
      <c r="B1140" s="26"/>
      <c r="D1140" s="8"/>
      <c r="E1140" s="8"/>
      <c r="F1140" s="198"/>
      <c r="G1140" s="198"/>
      <c r="H1140" s="198"/>
      <c r="I1140" s="198"/>
      <c r="J1140" s="198"/>
    </row>
    <row r="1141" spans="2:10" s="15" customFormat="1" x14ac:dyDescent="0.25">
      <c r="B1141" s="26"/>
      <c r="D1141" s="8"/>
      <c r="E1141" s="8"/>
      <c r="F1141" s="198"/>
      <c r="G1141" s="198"/>
      <c r="H1141" s="198"/>
      <c r="I1141" s="198"/>
      <c r="J1141" s="198"/>
    </row>
    <row r="1142" spans="2:10" s="15" customFormat="1" x14ac:dyDescent="0.25">
      <c r="B1142" s="26"/>
      <c r="D1142" s="8"/>
      <c r="E1142" s="8"/>
      <c r="F1142" s="198"/>
      <c r="G1142" s="198"/>
      <c r="H1142" s="198"/>
      <c r="I1142" s="198"/>
      <c r="J1142" s="198"/>
    </row>
    <row r="1143" spans="2:10" s="15" customFormat="1" x14ac:dyDescent="0.25">
      <c r="B1143" s="26"/>
      <c r="D1143" s="8"/>
      <c r="E1143" s="8"/>
      <c r="F1143" s="198"/>
      <c r="G1143" s="198"/>
      <c r="H1143" s="198"/>
      <c r="I1143" s="198"/>
      <c r="J1143" s="198"/>
    </row>
    <row r="1144" spans="2:10" s="15" customFormat="1" x14ac:dyDescent="0.25">
      <c r="B1144" s="26"/>
      <c r="D1144" s="8"/>
      <c r="E1144" s="8"/>
      <c r="F1144" s="198"/>
      <c r="G1144" s="198"/>
      <c r="H1144" s="198"/>
      <c r="I1144" s="198"/>
      <c r="J1144" s="198"/>
    </row>
    <row r="1145" spans="2:10" s="15" customFormat="1" x14ac:dyDescent="0.25">
      <c r="B1145" s="26"/>
      <c r="D1145" s="8"/>
      <c r="E1145" s="8"/>
      <c r="F1145" s="198"/>
      <c r="G1145" s="198"/>
      <c r="H1145" s="198"/>
      <c r="I1145" s="198"/>
      <c r="J1145" s="198"/>
    </row>
    <row r="1146" spans="2:10" s="15" customFormat="1" x14ac:dyDescent="0.25">
      <c r="B1146" s="26"/>
      <c r="D1146" s="8"/>
      <c r="E1146" s="8"/>
      <c r="F1146" s="198"/>
      <c r="G1146" s="198"/>
      <c r="H1146" s="198"/>
      <c r="I1146" s="198"/>
      <c r="J1146" s="198"/>
    </row>
    <row r="1147" spans="2:10" s="15" customFormat="1" x14ac:dyDescent="0.25">
      <c r="B1147" s="26"/>
      <c r="D1147" s="8"/>
      <c r="E1147" s="8"/>
      <c r="F1147" s="198"/>
      <c r="G1147" s="198"/>
      <c r="H1147" s="198"/>
      <c r="I1147" s="198"/>
      <c r="J1147" s="198"/>
    </row>
    <row r="1148" spans="2:10" s="15" customFormat="1" x14ac:dyDescent="0.25">
      <c r="B1148" s="26"/>
      <c r="D1148" s="8"/>
      <c r="E1148" s="8"/>
      <c r="F1148" s="198"/>
      <c r="G1148" s="198"/>
      <c r="H1148" s="198"/>
      <c r="I1148" s="198"/>
      <c r="J1148" s="198"/>
    </row>
    <row r="1149" spans="2:10" s="15" customFormat="1" x14ac:dyDescent="0.25">
      <c r="B1149" s="26"/>
      <c r="D1149" s="8"/>
      <c r="E1149" s="8"/>
      <c r="F1149" s="198"/>
      <c r="G1149" s="198"/>
      <c r="H1149" s="198"/>
      <c r="I1149" s="198"/>
      <c r="J1149" s="198"/>
    </row>
    <row r="1150" spans="2:10" s="15" customFormat="1" x14ac:dyDescent="0.25">
      <c r="B1150" s="26"/>
      <c r="D1150" s="8"/>
      <c r="E1150" s="8"/>
      <c r="F1150" s="198"/>
      <c r="G1150" s="198"/>
      <c r="H1150" s="198"/>
      <c r="I1150" s="198"/>
      <c r="J1150" s="198"/>
    </row>
    <row r="1151" spans="2:10" s="15" customFormat="1" x14ac:dyDescent="0.25">
      <c r="B1151" s="26"/>
      <c r="D1151" s="8"/>
      <c r="E1151" s="8"/>
      <c r="F1151" s="198"/>
      <c r="G1151" s="198"/>
      <c r="H1151" s="198"/>
      <c r="I1151" s="198"/>
      <c r="J1151" s="198"/>
    </row>
    <row r="1152" spans="2:10" s="15" customFormat="1" x14ac:dyDescent="0.25">
      <c r="B1152" s="26"/>
      <c r="D1152" s="8"/>
      <c r="E1152" s="8"/>
      <c r="F1152" s="198"/>
      <c r="G1152" s="198"/>
      <c r="H1152" s="198"/>
      <c r="I1152" s="198"/>
      <c r="J1152" s="198"/>
    </row>
    <row r="1153" spans="2:10" s="15" customFormat="1" x14ac:dyDescent="0.25">
      <c r="B1153" s="26"/>
      <c r="D1153" s="8"/>
      <c r="E1153" s="8"/>
      <c r="F1153" s="198"/>
      <c r="G1153" s="198"/>
      <c r="H1153" s="198"/>
      <c r="I1153" s="198"/>
      <c r="J1153" s="198"/>
    </row>
    <row r="1154" spans="2:10" s="15" customFormat="1" x14ac:dyDescent="0.25">
      <c r="B1154" s="26"/>
      <c r="D1154" s="8"/>
      <c r="E1154" s="8"/>
      <c r="F1154" s="198"/>
      <c r="G1154" s="198"/>
      <c r="H1154" s="198"/>
      <c r="I1154" s="198"/>
      <c r="J1154" s="198"/>
    </row>
    <row r="1155" spans="2:10" s="15" customFormat="1" x14ac:dyDescent="0.25">
      <c r="B1155" s="26"/>
      <c r="D1155" s="8"/>
      <c r="E1155" s="8"/>
      <c r="F1155" s="198"/>
      <c r="G1155" s="198"/>
      <c r="H1155" s="198"/>
      <c r="I1155" s="198"/>
      <c r="J1155" s="198"/>
    </row>
    <row r="1156" spans="2:10" s="15" customFormat="1" x14ac:dyDescent="0.25">
      <c r="B1156" s="26"/>
      <c r="D1156" s="8"/>
      <c r="E1156" s="8"/>
      <c r="F1156" s="198"/>
      <c r="G1156" s="198"/>
      <c r="H1156" s="198"/>
      <c r="I1156" s="198"/>
      <c r="J1156" s="198"/>
    </row>
    <row r="1157" spans="2:10" s="15" customFormat="1" x14ac:dyDescent="0.25">
      <c r="B1157" s="26"/>
      <c r="D1157" s="8"/>
      <c r="E1157" s="8"/>
      <c r="F1157" s="198"/>
      <c r="G1157" s="198"/>
      <c r="H1157" s="198"/>
      <c r="I1157" s="198"/>
      <c r="J1157" s="198"/>
    </row>
    <row r="1158" spans="2:10" s="15" customFormat="1" x14ac:dyDescent="0.25">
      <c r="B1158" s="26"/>
      <c r="D1158" s="8"/>
      <c r="E1158" s="8"/>
      <c r="F1158" s="198"/>
      <c r="G1158" s="198"/>
      <c r="H1158" s="198"/>
      <c r="I1158" s="198"/>
      <c r="J1158" s="198"/>
    </row>
    <row r="1159" spans="2:10" s="15" customFormat="1" x14ac:dyDescent="0.25">
      <c r="B1159" s="26"/>
      <c r="D1159" s="8"/>
      <c r="E1159" s="8"/>
      <c r="F1159" s="198"/>
      <c r="G1159" s="198"/>
      <c r="H1159" s="198"/>
      <c r="I1159" s="198"/>
      <c r="J1159" s="198"/>
    </row>
    <row r="1160" spans="2:10" s="15" customFormat="1" x14ac:dyDescent="0.25">
      <c r="B1160" s="26"/>
      <c r="D1160" s="8"/>
      <c r="E1160" s="8"/>
      <c r="F1160" s="198"/>
      <c r="G1160" s="198"/>
      <c r="H1160" s="198"/>
      <c r="I1160" s="198"/>
      <c r="J1160" s="198"/>
    </row>
    <row r="1161" spans="2:10" s="15" customFormat="1" x14ac:dyDescent="0.25">
      <c r="B1161" s="26"/>
      <c r="D1161" s="8"/>
      <c r="E1161" s="8"/>
      <c r="F1161" s="198"/>
      <c r="G1161" s="198"/>
      <c r="H1161" s="198"/>
      <c r="I1161" s="198"/>
      <c r="J1161" s="198"/>
    </row>
    <row r="1162" spans="2:10" s="15" customFormat="1" x14ac:dyDescent="0.25">
      <c r="B1162" s="26"/>
      <c r="D1162" s="8"/>
      <c r="E1162" s="8"/>
      <c r="F1162" s="198"/>
      <c r="G1162" s="198"/>
      <c r="H1162" s="198"/>
      <c r="I1162" s="198"/>
      <c r="J1162" s="198"/>
    </row>
    <row r="1163" spans="2:10" s="15" customFormat="1" x14ac:dyDescent="0.25">
      <c r="B1163" s="26"/>
      <c r="D1163" s="8"/>
      <c r="E1163" s="8"/>
      <c r="F1163" s="198"/>
      <c r="G1163" s="198"/>
      <c r="H1163" s="198"/>
      <c r="I1163" s="198"/>
      <c r="J1163" s="198"/>
    </row>
    <row r="1164" spans="2:10" s="15" customFormat="1" x14ac:dyDescent="0.25">
      <c r="B1164" s="26"/>
      <c r="D1164" s="8"/>
      <c r="E1164" s="8"/>
      <c r="F1164" s="198"/>
      <c r="G1164" s="198"/>
      <c r="H1164" s="198"/>
      <c r="I1164" s="198"/>
      <c r="J1164" s="198"/>
    </row>
    <row r="1165" spans="2:10" s="15" customFormat="1" x14ac:dyDescent="0.25">
      <c r="B1165" s="26"/>
      <c r="D1165" s="8"/>
      <c r="E1165" s="8"/>
      <c r="F1165" s="198"/>
      <c r="G1165" s="198"/>
      <c r="H1165" s="198"/>
      <c r="I1165" s="198"/>
      <c r="J1165" s="198"/>
    </row>
    <row r="1166" spans="2:10" s="15" customFormat="1" x14ac:dyDescent="0.25">
      <c r="B1166" s="26"/>
      <c r="D1166" s="8"/>
      <c r="E1166" s="8"/>
      <c r="F1166" s="198"/>
      <c r="G1166" s="198"/>
      <c r="H1166" s="198"/>
      <c r="I1166" s="198"/>
      <c r="J1166" s="198"/>
    </row>
    <row r="1167" spans="2:10" s="15" customFormat="1" x14ac:dyDescent="0.25">
      <c r="B1167" s="26"/>
      <c r="D1167" s="8"/>
      <c r="E1167" s="8"/>
      <c r="F1167" s="198"/>
      <c r="G1167" s="198"/>
      <c r="H1167" s="198"/>
      <c r="I1167" s="198"/>
      <c r="J1167" s="198"/>
    </row>
    <row r="1168" spans="2:10" s="15" customFormat="1" x14ac:dyDescent="0.25">
      <c r="B1168" s="26"/>
      <c r="D1168" s="8"/>
      <c r="E1168" s="8"/>
      <c r="F1168" s="198"/>
      <c r="G1168" s="198"/>
      <c r="H1168" s="198"/>
      <c r="I1168" s="198"/>
      <c r="J1168" s="198"/>
    </row>
    <row r="1169" spans="2:10" s="15" customFormat="1" x14ac:dyDescent="0.25">
      <c r="B1169" s="26"/>
      <c r="D1169" s="8"/>
      <c r="E1169" s="8"/>
      <c r="F1169" s="198"/>
      <c r="G1169" s="198"/>
      <c r="H1169" s="198"/>
      <c r="I1169" s="198"/>
      <c r="J1169" s="198"/>
    </row>
    <row r="1170" spans="2:10" s="15" customFormat="1" x14ac:dyDescent="0.25">
      <c r="B1170" s="26"/>
      <c r="D1170" s="8"/>
      <c r="E1170" s="8"/>
      <c r="F1170" s="198"/>
      <c r="G1170" s="198"/>
      <c r="H1170" s="198"/>
      <c r="I1170" s="198"/>
      <c r="J1170" s="198"/>
    </row>
    <row r="1171" spans="2:10" s="15" customFormat="1" x14ac:dyDescent="0.25">
      <c r="B1171" s="26"/>
      <c r="D1171" s="8"/>
      <c r="E1171" s="8"/>
      <c r="F1171" s="198"/>
      <c r="G1171" s="198"/>
      <c r="H1171" s="198"/>
      <c r="I1171" s="198"/>
      <c r="J1171" s="198"/>
    </row>
    <row r="1172" spans="2:10" s="15" customFormat="1" x14ac:dyDescent="0.25">
      <c r="B1172" s="26"/>
      <c r="D1172" s="8"/>
      <c r="E1172" s="8"/>
      <c r="F1172" s="198"/>
      <c r="G1172" s="198"/>
      <c r="H1172" s="198"/>
      <c r="I1172" s="198"/>
      <c r="J1172" s="198"/>
    </row>
    <row r="1173" spans="2:10" s="15" customFormat="1" x14ac:dyDescent="0.25">
      <c r="B1173" s="26"/>
      <c r="D1173" s="8"/>
      <c r="E1173" s="8"/>
      <c r="F1173" s="198"/>
      <c r="G1173" s="198"/>
      <c r="H1173" s="198"/>
      <c r="I1173" s="198"/>
      <c r="J1173" s="198"/>
    </row>
    <row r="1174" spans="2:10" s="15" customFormat="1" x14ac:dyDescent="0.25">
      <c r="B1174" s="26"/>
      <c r="D1174" s="8"/>
      <c r="E1174" s="8"/>
      <c r="F1174" s="198"/>
      <c r="G1174" s="198"/>
      <c r="H1174" s="198"/>
      <c r="I1174" s="198"/>
      <c r="J1174" s="198"/>
    </row>
    <row r="1175" spans="2:10" s="15" customFormat="1" x14ac:dyDescent="0.25">
      <c r="B1175" s="26"/>
      <c r="D1175" s="8"/>
      <c r="E1175" s="8"/>
      <c r="F1175" s="198"/>
      <c r="G1175" s="198"/>
      <c r="H1175" s="198"/>
      <c r="I1175" s="198"/>
      <c r="J1175" s="198"/>
    </row>
    <row r="1176" spans="2:10" s="15" customFormat="1" x14ac:dyDescent="0.25">
      <c r="B1176" s="26"/>
      <c r="D1176" s="8"/>
      <c r="E1176" s="8"/>
      <c r="F1176" s="198"/>
      <c r="G1176" s="198"/>
      <c r="H1176" s="198"/>
      <c r="I1176" s="198"/>
      <c r="J1176" s="198"/>
    </row>
    <row r="1177" spans="2:10" s="15" customFormat="1" x14ac:dyDescent="0.25">
      <c r="B1177" s="26"/>
      <c r="D1177" s="8"/>
      <c r="E1177" s="8"/>
      <c r="F1177" s="198"/>
      <c r="G1177" s="198"/>
      <c r="H1177" s="198"/>
      <c r="I1177" s="198"/>
      <c r="J1177" s="198"/>
    </row>
    <row r="1178" spans="2:10" s="15" customFormat="1" x14ac:dyDescent="0.25">
      <c r="B1178" s="26"/>
      <c r="D1178" s="8"/>
      <c r="E1178" s="8"/>
      <c r="F1178" s="198"/>
      <c r="G1178" s="198"/>
      <c r="H1178" s="198"/>
      <c r="I1178" s="198"/>
      <c r="J1178" s="198"/>
    </row>
    <row r="1179" spans="2:10" s="15" customFormat="1" x14ac:dyDescent="0.25">
      <c r="B1179" s="26"/>
      <c r="D1179" s="8"/>
      <c r="E1179" s="8"/>
      <c r="F1179" s="198"/>
      <c r="G1179" s="198"/>
      <c r="H1179" s="198"/>
      <c r="I1179" s="198"/>
      <c r="J1179" s="198"/>
    </row>
    <row r="1180" spans="2:10" s="15" customFormat="1" x14ac:dyDescent="0.25">
      <c r="B1180" s="26"/>
      <c r="D1180" s="8"/>
      <c r="E1180" s="8"/>
      <c r="F1180" s="198"/>
      <c r="G1180" s="198"/>
      <c r="H1180" s="198"/>
      <c r="I1180" s="198"/>
      <c r="J1180" s="198"/>
    </row>
    <row r="1181" spans="2:10" s="15" customFormat="1" x14ac:dyDescent="0.25">
      <c r="B1181" s="26"/>
      <c r="D1181" s="8"/>
      <c r="E1181" s="8"/>
      <c r="F1181" s="198"/>
      <c r="G1181" s="198"/>
      <c r="H1181" s="198"/>
      <c r="I1181" s="198"/>
      <c r="J1181" s="198"/>
    </row>
    <row r="1182" spans="2:10" s="15" customFormat="1" x14ac:dyDescent="0.25">
      <c r="B1182" s="26"/>
      <c r="D1182" s="8"/>
      <c r="E1182" s="8"/>
      <c r="F1182" s="198"/>
      <c r="G1182" s="198"/>
      <c r="H1182" s="198"/>
      <c r="I1182" s="198"/>
      <c r="J1182" s="198"/>
    </row>
    <row r="1183" spans="2:10" s="15" customFormat="1" x14ac:dyDescent="0.25">
      <c r="B1183" s="26"/>
      <c r="D1183" s="8"/>
      <c r="E1183" s="8"/>
      <c r="F1183" s="198"/>
      <c r="G1183" s="198"/>
      <c r="H1183" s="198"/>
      <c r="I1183" s="198"/>
      <c r="J1183" s="198"/>
    </row>
    <row r="1184" spans="2:10" s="15" customFormat="1" x14ac:dyDescent="0.25">
      <c r="B1184" s="26"/>
      <c r="D1184" s="8"/>
      <c r="E1184" s="8"/>
      <c r="F1184" s="198"/>
      <c r="G1184" s="198"/>
      <c r="H1184" s="198"/>
      <c r="I1184" s="198"/>
      <c r="J1184" s="198"/>
    </row>
    <row r="1185" spans="2:10" s="15" customFormat="1" x14ac:dyDescent="0.25">
      <c r="B1185" s="26"/>
      <c r="D1185" s="8"/>
      <c r="E1185" s="8"/>
      <c r="F1185" s="198"/>
      <c r="G1185" s="198"/>
      <c r="H1185" s="198"/>
      <c r="I1185" s="198"/>
      <c r="J1185" s="198"/>
    </row>
    <row r="1186" spans="2:10" s="15" customFormat="1" x14ac:dyDescent="0.25">
      <c r="B1186" s="26"/>
      <c r="D1186" s="8"/>
      <c r="E1186" s="8"/>
      <c r="F1186" s="198"/>
      <c r="G1186" s="198"/>
      <c r="H1186" s="198"/>
      <c r="I1186" s="198"/>
      <c r="J1186" s="198"/>
    </row>
    <row r="1187" spans="2:10" s="15" customFormat="1" x14ac:dyDescent="0.25">
      <c r="B1187" s="26"/>
      <c r="D1187" s="8"/>
      <c r="E1187" s="8"/>
      <c r="F1187" s="198"/>
      <c r="G1187" s="198"/>
      <c r="H1187" s="198"/>
      <c r="I1187" s="198"/>
      <c r="J1187" s="198"/>
    </row>
    <row r="1188" spans="2:10" s="15" customFormat="1" x14ac:dyDescent="0.25">
      <c r="B1188" s="26"/>
      <c r="D1188" s="8"/>
      <c r="E1188" s="8"/>
      <c r="F1188" s="198"/>
      <c r="G1188" s="198"/>
      <c r="H1188" s="198"/>
      <c r="I1188" s="198"/>
      <c r="J1188" s="198"/>
    </row>
    <row r="1189" spans="2:10" s="15" customFormat="1" x14ac:dyDescent="0.25">
      <c r="B1189" s="26"/>
      <c r="D1189" s="8"/>
      <c r="E1189" s="8"/>
      <c r="F1189" s="198"/>
      <c r="G1189" s="198"/>
      <c r="H1189" s="198"/>
      <c r="I1189" s="198"/>
      <c r="J1189" s="198"/>
    </row>
    <row r="1190" spans="2:10" s="15" customFormat="1" x14ac:dyDescent="0.25">
      <c r="B1190" s="26"/>
      <c r="D1190" s="8"/>
      <c r="E1190" s="8"/>
      <c r="F1190" s="198"/>
      <c r="G1190" s="198"/>
      <c r="H1190" s="198"/>
      <c r="I1190" s="198"/>
      <c r="J1190" s="198"/>
    </row>
    <row r="1191" spans="2:10" s="15" customFormat="1" x14ac:dyDescent="0.25">
      <c r="B1191" s="26"/>
      <c r="D1191" s="8"/>
      <c r="E1191" s="8"/>
      <c r="F1191" s="198"/>
      <c r="G1191" s="198"/>
      <c r="H1191" s="198"/>
      <c r="I1191" s="198"/>
      <c r="J1191" s="198"/>
    </row>
    <row r="1192" spans="2:10" s="15" customFormat="1" x14ac:dyDescent="0.25">
      <c r="B1192" s="26"/>
      <c r="D1192" s="8"/>
      <c r="E1192" s="8"/>
      <c r="F1192" s="198"/>
      <c r="G1192" s="198"/>
      <c r="H1192" s="198"/>
      <c r="I1192" s="198"/>
      <c r="J1192" s="198"/>
    </row>
    <row r="1193" spans="2:10" s="15" customFormat="1" x14ac:dyDescent="0.25">
      <c r="B1193" s="26"/>
      <c r="D1193" s="8"/>
      <c r="E1193" s="8"/>
      <c r="F1193" s="198"/>
      <c r="G1193" s="198"/>
      <c r="H1193" s="198"/>
      <c r="I1193" s="198"/>
      <c r="J1193" s="198"/>
    </row>
    <row r="1194" spans="2:10" s="15" customFormat="1" x14ac:dyDescent="0.25">
      <c r="B1194" s="26"/>
      <c r="D1194" s="8"/>
      <c r="E1194" s="8"/>
      <c r="F1194" s="198"/>
      <c r="G1194" s="198"/>
      <c r="H1194" s="198"/>
      <c r="I1194" s="198"/>
      <c r="J1194" s="198"/>
    </row>
    <row r="1195" spans="2:10" s="15" customFormat="1" x14ac:dyDescent="0.25">
      <c r="B1195" s="26"/>
      <c r="D1195" s="8"/>
      <c r="E1195" s="8"/>
      <c r="F1195" s="198"/>
      <c r="G1195" s="198"/>
      <c r="H1195" s="198"/>
      <c r="I1195" s="198"/>
      <c r="J1195" s="198"/>
    </row>
    <row r="1196" spans="2:10" s="15" customFormat="1" x14ac:dyDescent="0.25">
      <c r="B1196" s="26"/>
      <c r="D1196" s="8"/>
      <c r="E1196" s="8"/>
      <c r="F1196" s="198"/>
      <c r="G1196" s="198"/>
      <c r="H1196" s="198"/>
      <c r="I1196" s="198"/>
      <c r="J1196" s="198"/>
    </row>
    <row r="1197" spans="2:10" s="15" customFormat="1" x14ac:dyDescent="0.25">
      <c r="B1197" s="26"/>
      <c r="D1197" s="8"/>
      <c r="E1197" s="8"/>
      <c r="F1197" s="198"/>
      <c r="G1197" s="198"/>
      <c r="H1197" s="198"/>
      <c r="I1197" s="198"/>
      <c r="J1197" s="198"/>
    </row>
    <row r="1198" spans="2:10" s="15" customFormat="1" x14ac:dyDescent="0.25">
      <c r="B1198" s="26"/>
      <c r="D1198" s="8"/>
      <c r="E1198" s="8"/>
      <c r="F1198" s="198"/>
      <c r="G1198" s="198"/>
      <c r="H1198" s="198"/>
      <c r="I1198" s="198"/>
      <c r="J1198" s="198"/>
    </row>
    <row r="1199" spans="2:10" s="15" customFormat="1" x14ac:dyDescent="0.25">
      <c r="B1199" s="26"/>
      <c r="D1199" s="8"/>
      <c r="E1199" s="8"/>
      <c r="F1199" s="198"/>
      <c r="G1199" s="198"/>
      <c r="H1199" s="198"/>
      <c r="I1199" s="198"/>
      <c r="J1199" s="198"/>
    </row>
    <row r="1200" spans="2:10" s="15" customFormat="1" x14ac:dyDescent="0.25">
      <c r="B1200" s="26"/>
      <c r="D1200" s="8"/>
      <c r="E1200" s="8"/>
      <c r="F1200" s="198"/>
      <c r="G1200" s="198"/>
      <c r="H1200" s="198"/>
      <c r="I1200" s="198"/>
      <c r="J1200" s="198"/>
    </row>
    <row r="1201" spans="2:10" s="15" customFormat="1" x14ac:dyDescent="0.25">
      <c r="B1201" s="26"/>
      <c r="D1201" s="8"/>
      <c r="E1201" s="8"/>
      <c r="F1201" s="198"/>
      <c r="G1201" s="198"/>
      <c r="H1201" s="198"/>
      <c r="I1201" s="198"/>
      <c r="J1201" s="198"/>
    </row>
    <row r="1202" spans="2:10" s="15" customFormat="1" x14ac:dyDescent="0.25">
      <c r="B1202" s="26"/>
      <c r="D1202" s="8"/>
      <c r="E1202" s="8"/>
      <c r="F1202" s="198"/>
      <c r="G1202" s="198"/>
      <c r="H1202" s="198"/>
      <c r="I1202" s="198"/>
      <c r="J1202" s="198"/>
    </row>
    <row r="1203" spans="2:10" s="15" customFormat="1" x14ac:dyDescent="0.25">
      <c r="B1203" s="26"/>
      <c r="D1203" s="8"/>
      <c r="E1203" s="8"/>
      <c r="F1203" s="198"/>
      <c r="G1203" s="198"/>
      <c r="H1203" s="198"/>
      <c r="I1203" s="198"/>
      <c r="J1203" s="198"/>
    </row>
    <row r="1204" spans="2:10" s="15" customFormat="1" x14ac:dyDescent="0.25">
      <c r="B1204" s="26"/>
      <c r="D1204" s="8"/>
      <c r="E1204" s="8"/>
      <c r="F1204" s="198"/>
      <c r="G1204" s="198"/>
      <c r="H1204" s="198"/>
      <c r="I1204" s="198"/>
      <c r="J1204" s="198"/>
    </row>
    <row r="1205" spans="2:10" s="15" customFormat="1" x14ac:dyDescent="0.25">
      <c r="B1205" s="26"/>
      <c r="D1205" s="8"/>
      <c r="E1205" s="8"/>
      <c r="F1205" s="198"/>
      <c r="G1205" s="198"/>
      <c r="H1205" s="198"/>
      <c r="I1205" s="198"/>
      <c r="J1205" s="198"/>
    </row>
    <row r="1206" spans="2:10" s="15" customFormat="1" x14ac:dyDescent="0.25">
      <c r="B1206" s="26"/>
      <c r="D1206" s="8"/>
      <c r="E1206" s="8"/>
      <c r="F1206" s="198"/>
      <c r="G1206" s="198"/>
      <c r="H1206" s="198"/>
      <c r="I1206" s="198"/>
      <c r="J1206" s="198"/>
    </row>
    <row r="1207" spans="2:10" s="15" customFormat="1" x14ac:dyDescent="0.25">
      <c r="B1207" s="26"/>
      <c r="D1207" s="8"/>
      <c r="E1207" s="8"/>
      <c r="F1207" s="198"/>
      <c r="G1207" s="198"/>
      <c r="H1207" s="198"/>
      <c r="I1207" s="198"/>
      <c r="J1207" s="198"/>
    </row>
    <row r="1208" spans="2:10" s="15" customFormat="1" x14ac:dyDescent="0.25">
      <c r="B1208" s="26"/>
      <c r="D1208" s="8"/>
      <c r="E1208" s="8"/>
      <c r="F1208" s="198"/>
      <c r="G1208" s="198"/>
      <c r="H1208" s="198"/>
      <c r="I1208" s="198"/>
      <c r="J1208" s="198"/>
    </row>
    <row r="1209" spans="2:10" s="15" customFormat="1" x14ac:dyDescent="0.25">
      <c r="B1209" s="26"/>
      <c r="D1209" s="8"/>
      <c r="E1209" s="8"/>
      <c r="F1209" s="198"/>
      <c r="G1209" s="198"/>
      <c r="H1209" s="198"/>
      <c r="I1209" s="198"/>
      <c r="J1209" s="198"/>
    </row>
    <row r="1210" spans="2:10" s="15" customFormat="1" x14ac:dyDescent="0.25">
      <c r="B1210" s="26"/>
      <c r="D1210" s="8"/>
      <c r="E1210" s="8"/>
      <c r="F1210" s="198"/>
      <c r="G1210" s="198"/>
      <c r="H1210" s="198"/>
      <c r="I1210" s="198"/>
      <c r="J1210" s="198"/>
    </row>
    <row r="1211" spans="2:10" s="15" customFormat="1" x14ac:dyDescent="0.25">
      <c r="B1211" s="26"/>
      <c r="D1211" s="8"/>
      <c r="E1211" s="8"/>
      <c r="F1211" s="198"/>
      <c r="G1211" s="198"/>
      <c r="H1211" s="198"/>
      <c r="I1211" s="198"/>
      <c r="J1211" s="198"/>
    </row>
    <row r="1212" spans="2:10" s="15" customFormat="1" x14ac:dyDescent="0.25">
      <c r="B1212" s="26"/>
      <c r="D1212" s="8"/>
      <c r="E1212" s="8"/>
      <c r="F1212" s="198"/>
      <c r="G1212" s="198"/>
      <c r="H1212" s="198"/>
      <c r="I1212" s="198"/>
      <c r="J1212" s="198"/>
    </row>
    <row r="1213" spans="2:10" s="15" customFormat="1" x14ac:dyDescent="0.25">
      <c r="B1213" s="26"/>
      <c r="D1213" s="8"/>
      <c r="E1213" s="8"/>
      <c r="F1213" s="198"/>
      <c r="G1213" s="198"/>
      <c r="H1213" s="198"/>
      <c r="I1213" s="198"/>
      <c r="J1213" s="198"/>
    </row>
    <row r="1214" spans="2:10" s="15" customFormat="1" x14ac:dyDescent="0.25">
      <c r="B1214" s="26"/>
      <c r="D1214" s="8"/>
      <c r="E1214" s="8"/>
      <c r="F1214" s="198"/>
      <c r="G1214" s="198"/>
      <c r="H1214" s="198"/>
      <c r="I1214" s="198"/>
      <c r="J1214" s="198"/>
    </row>
    <row r="1215" spans="2:10" s="15" customFormat="1" x14ac:dyDescent="0.25">
      <c r="B1215" s="26"/>
      <c r="D1215" s="8"/>
      <c r="E1215" s="8"/>
      <c r="F1215" s="198"/>
      <c r="G1215" s="198"/>
      <c r="H1215" s="198"/>
      <c r="I1215" s="198"/>
      <c r="J1215" s="198"/>
    </row>
    <row r="1216" spans="2:10" s="15" customFormat="1" x14ac:dyDescent="0.25">
      <c r="B1216" s="26"/>
      <c r="D1216" s="8"/>
      <c r="E1216" s="8"/>
      <c r="F1216" s="198"/>
      <c r="G1216" s="198"/>
      <c r="H1216" s="198"/>
      <c r="I1216" s="198"/>
      <c r="J1216" s="198"/>
    </row>
    <row r="1217" spans="2:10" s="15" customFormat="1" x14ac:dyDescent="0.25">
      <c r="B1217" s="26"/>
      <c r="D1217" s="8"/>
      <c r="E1217" s="8"/>
      <c r="F1217" s="198"/>
      <c r="G1217" s="198"/>
      <c r="H1217" s="198"/>
      <c r="I1217" s="198"/>
      <c r="J1217" s="198"/>
    </row>
    <row r="1218" spans="2:10" s="15" customFormat="1" x14ac:dyDescent="0.25">
      <c r="B1218" s="26"/>
      <c r="D1218" s="8"/>
      <c r="E1218" s="8"/>
      <c r="F1218" s="198"/>
      <c r="G1218" s="198"/>
      <c r="H1218" s="198"/>
      <c r="I1218" s="198"/>
      <c r="J1218" s="198"/>
    </row>
    <row r="1219" spans="2:10" s="15" customFormat="1" x14ac:dyDescent="0.25">
      <c r="B1219" s="26"/>
      <c r="D1219" s="8"/>
      <c r="E1219" s="8"/>
      <c r="F1219" s="198"/>
      <c r="G1219" s="198"/>
      <c r="H1219" s="198"/>
      <c r="I1219" s="198"/>
      <c r="J1219" s="198"/>
    </row>
    <row r="1220" spans="2:10" s="15" customFormat="1" x14ac:dyDescent="0.25">
      <c r="B1220" s="26"/>
      <c r="D1220" s="8"/>
      <c r="E1220" s="8"/>
      <c r="F1220" s="198"/>
      <c r="G1220" s="198"/>
      <c r="H1220" s="198"/>
      <c r="I1220" s="198"/>
      <c r="J1220" s="198"/>
    </row>
    <row r="1221" spans="2:10" s="15" customFormat="1" x14ac:dyDescent="0.25">
      <c r="B1221" s="26"/>
      <c r="D1221" s="8"/>
      <c r="E1221" s="8"/>
      <c r="F1221" s="198"/>
      <c r="G1221" s="198"/>
      <c r="H1221" s="198"/>
      <c r="I1221" s="198"/>
      <c r="J1221" s="198"/>
    </row>
    <row r="1222" spans="2:10" s="15" customFormat="1" x14ac:dyDescent="0.25">
      <c r="B1222" s="26"/>
      <c r="D1222" s="8"/>
      <c r="E1222" s="8"/>
      <c r="F1222" s="198"/>
      <c r="G1222" s="198"/>
      <c r="H1222" s="198"/>
      <c r="I1222" s="198"/>
      <c r="J1222" s="198"/>
    </row>
    <row r="1223" spans="2:10" s="15" customFormat="1" x14ac:dyDescent="0.25">
      <c r="B1223" s="26"/>
      <c r="D1223" s="8"/>
      <c r="E1223" s="8"/>
      <c r="F1223" s="198"/>
      <c r="G1223" s="198"/>
      <c r="H1223" s="198"/>
      <c r="I1223" s="198"/>
      <c r="J1223" s="198"/>
    </row>
    <row r="1224" spans="2:10" s="15" customFormat="1" x14ac:dyDescent="0.25">
      <c r="B1224" s="26"/>
      <c r="D1224" s="8"/>
      <c r="E1224" s="8"/>
      <c r="F1224" s="198"/>
      <c r="G1224" s="198"/>
      <c r="H1224" s="198"/>
      <c r="I1224" s="198"/>
      <c r="J1224" s="198"/>
    </row>
    <row r="1225" spans="2:10" s="15" customFormat="1" x14ac:dyDescent="0.25">
      <c r="B1225" s="26"/>
      <c r="D1225" s="8"/>
      <c r="E1225" s="8"/>
      <c r="F1225" s="198"/>
      <c r="G1225" s="198"/>
      <c r="H1225" s="198"/>
      <c r="I1225" s="198"/>
      <c r="J1225" s="198"/>
    </row>
    <row r="1226" spans="2:10" s="15" customFormat="1" x14ac:dyDescent="0.25">
      <c r="B1226" s="26"/>
      <c r="D1226" s="8"/>
      <c r="E1226" s="8"/>
      <c r="F1226" s="198"/>
      <c r="G1226" s="198"/>
      <c r="H1226" s="198"/>
      <c r="I1226" s="198"/>
      <c r="J1226" s="198"/>
    </row>
    <row r="1227" spans="2:10" s="15" customFormat="1" x14ac:dyDescent="0.25">
      <c r="B1227" s="26"/>
      <c r="D1227" s="8"/>
      <c r="E1227" s="8"/>
      <c r="F1227" s="198"/>
      <c r="G1227" s="198"/>
      <c r="H1227" s="198"/>
      <c r="I1227" s="198"/>
      <c r="J1227" s="198"/>
    </row>
    <row r="1228" spans="2:10" s="15" customFormat="1" x14ac:dyDescent="0.25">
      <c r="B1228" s="26"/>
      <c r="D1228" s="8"/>
      <c r="E1228" s="8"/>
      <c r="F1228" s="198"/>
      <c r="G1228" s="198"/>
      <c r="H1228" s="198"/>
      <c r="I1228" s="198"/>
      <c r="J1228" s="198"/>
    </row>
    <row r="1229" spans="2:10" s="15" customFormat="1" x14ac:dyDescent="0.25">
      <c r="B1229" s="26"/>
      <c r="D1229" s="8"/>
      <c r="E1229" s="8"/>
      <c r="F1229" s="198"/>
      <c r="G1229" s="198"/>
      <c r="H1229" s="198"/>
      <c r="I1229" s="198"/>
      <c r="J1229" s="198"/>
    </row>
    <row r="1230" spans="2:10" s="15" customFormat="1" x14ac:dyDescent="0.25">
      <c r="B1230" s="26"/>
      <c r="D1230" s="8"/>
      <c r="E1230" s="8"/>
      <c r="F1230" s="198"/>
      <c r="G1230" s="198"/>
      <c r="H1230" s="198"/>
      <c r="I1230" s="198"/>
      <c r="J1230" s="198"/>
    </row>
    <row r="1231" spans="2:10" s="15" customFormat="1" x14ac:dyDescent="0.25">
      <c r="B1231" s="26"/>
      <c r="D1231" s="8"/>
      <c r="E1231" s="8"/>
      <c r="F1231" s="198"/>
      <c r="G1231" s="198"/>
      <c r="H1231" s="198"/>
      <c r="I1231" s="198"/>
      <c r="J1231" s="198"/>
    </row>
    <row r="1232" spans="2:10" s="15" customFormat="1" x14ac:dyDescent="0.25">
      <c r="B1232" s="26"/>
      <c r="D1232" s="8"/>
      <c r="E1232" s="8"/>
      <c r="F1232" s="198"/>
      <c r="G1232" s="198"/>
      <c r="H1232" s="198"/>
      <c r="I1232" s="198"/>
      <c r="J1232" s="198"/>
    </row>
    <row r="1233" spans="2:10" s="15" customFormat="1" x14ac:dyDescent="0.25">
      <c r="B1233" s="26"/>
      <c r="D1233" s="8"/>
      <c r="E1233" s="8"/>
      <c r="F1233" s="198"/>
      <c r="G1233" s="198"/>
      <c r="H1233" s="198"/>
      <c r="I1233" s="198"/>
      <c r="J1233" s="198"/>
    </row>
    <row r="1234" spans="2:10" s="15" customFormat="1" x14ac:dyDescent="0.25">
      <c r="B1234" s="26"/>
      <c r="D1234" s="8"/>
      <c r="E1234" s="8"/>
      <c r="F1234" s="198"/>
      <c r="G1234" s="198"/>
      <c r="H1234" s="198"/>
      <c r="I1234" s="198"/>
      <c r="J1234" s="198"/>
    </row>
    <row r="1235" spans="2:10" s="15" customFormat="1" x14ac:dyDescent="0.25">
      <c r="B1235" s="26"/>
      <c r="D1235" s="8"/>
      <c r="E1235" s="8"/>
      <c r="F1235" s="198"/>
      <c r="G1235" s="198"/>
      <c r="H1235" s="198"/>
      <c r="I1235" s="198"/>
      <c r="J1235" s="198"/>
    </row>
    <row r="1236" spans="2:10" s="15" customFormat="1" x14ac:dyDescent="0.25">
      <c r="B1236" s="26"/>
      <c r="D1236" s="8"/>
      <c r="E1236" s="8"/>
      <c r="F1236" s="198"/>
      <c r="G1236" s="198"/>
      <c r="H1236" s="198"/>
      <c r="I1236" s="198"/>
      <c r="J1236" s="198"/>
    </row>
    <row r="1237" spans="2:10" s="15" customFormat="1" x14ac:dyDescent="0.25">
      <c r="B1237" s="26"/>
      <c r="D1237" s="8"/>
      <c r="E1237" s="8"/>
      <c r="F1237" s="198"/>
      <c r="G1237" s="198"/>
      <c r="H1237" s="198"/>
      <c r="I1237" s="198"/>
      <c r="J1237" s="198"/>
    </row>
    <row r="1238" spans="2:10" s="15" customFormat="1" x14ac:dyDescent="0.25">
      <c r="B1238" s="26"/>
      <c r="D1238" s="8"/>
      <c r="E1238" s="8"/>
      <c r="F1238" s="198"/>
      <c r="G1238" s="198"/>
      <c r="H1238" s="198"/>
      <c r="I1238" s="198"/>
      <c r="J1238" s="198"/>
    </row>
    <row r="1239" spans="2:10" s="15" customFormat="1" x14ac:dyDescent="0.25">
      <c r="B1239" s="26"/>
      <c r="D1239" s="8"/>
      <c r="E1239" s="8"/>
      <c r="F1239" s="198"/>
      <c r="G1239" s="198"/>
      <c r="H1239" s="198"/>
      <c r="I1239" s="198"/>
      <c r="J1239" s="198"/>
    </row>
    <row r="1240" spans="2:10" s="15" customFormat="1" x14ac:dyDescent="0.25">
      <c r="B1240" s="26"/>
      <c r="D1240" s="8"/>
      <c r="E1240" s="8"/>
      <c r="F1240" s="198"/>
      <c r="G1240" s="198"/>
      <c r="H1240" s="198"/>
      <c r="I1240" s="198"/>
      <c r="J1240" s="198"/>
    </row>
    <row r="1241" spans="2:10" s="15" customFormat="1" x14ac:dyDescent="0.25">
      <c r="B1241" s="26"/>
      <c r="D1241" s="8"/>
      <c r="E1241" s="8"/>
      <c r="F1241" s="198"/>
      <c r="G1241" s="198"/>
      <c r="H1241" s="198"/>
      <c r="I1241" s="198"/>
      <c r="J1241" s="198"/>
    </row>
    <row r="1242" spans="2:10" s="15" customFormat="1" x14ac:dyDescent="0.25">
      <c r="B1242" s="26"/>
      <c r="D1242" s="8"/>
      <c r="E1242" s="8"/>
      <c r="F1242" s="198"/>
      <c r="G1242" s="198"/>
      <c r="H1242" s="198"/>
      <c r="I1242" s="198"/>
      <c r="J1242" s="198"/>
    </row>
    <row r="1243" spans="2:10" s="15" customFormat="1" x14ac:dyDescent="0.25">
      <c r="B1243" s="26"/>
      <c r="D1243" s="8"/>
      <c r="E1243" s="8"/>
      <c r="F1243" s="198"/>
      <c r="G1243" s="198"/>
      <c r="H1243" s="198"/>
      <c r="I1243" s="198"/>
      <c r="J1243" s="198"/>
    </row>
    <row r="1244" spans="2:10" s="15" customFormat="1" x14ac:dyDescent="0.25">
      <c r="B1244" s="26"/>
      <c r="D1244" s="8"/>
      <c r="E1244" s="8"/>
      <c r="F1244" s="198"/>
      <c r="G1244" s="198"/>
      <c r="H1244" s="198"/>
      <c r="I1244" s="198"/>
      <c r="J1244" s="198"/>
    </row>
    <row r="1245" spans="2:10" s="15" customFormat="1" x14ac:dyDescent="0.25">
      <c r="B1245" s="26"/>
      <c r="D1245" s="8"/>
      <c r="E1245" s="8"/>
      <c r="F1245" s="198"/>
      <c r="G1245" s="198"/>
      <c r="H1245" s="198"/>
      <c r="I1245" s="198"/>
      <c r="J1245" s="198"/>
    </row>
    <row r="1246" spans="2:10" s="15" customFormat="1" x14ac:dyDescent="0.25">
      <c r="B1246" s="26"/>
      <c r="D1246" s="8"/>
      <c r="E1246" s="8"/>
      <c r="F1246" s="198"/>
      <c r="G1246" s="198"/>
      <c r="H1246" s="198"/>
      <c r="I1246" s="198"/>
      <c r="J1246" s="198"/>
    </row>
    <row r="1247" spans="2:10" s="15" customFormat="1" x14ac:dyDescent="0.25">
      <c r="B1247" s="26"/>
      <c r="D1247" s="8"/>
      <c r="E1247" s="8"/>
      <c r="F1247" s="198"/>
      <c r="G1247" s="198"/>
      <c r="H1247" s="198"/>
      <c r="I1247" s="198"/>
      <c r="J1247" s="198"/>
    </row>
    <row r="1248" spans="2:10" s="15" customFormat="1" x14ac:dyDescent="0.25">
      <c r="B1248" s="26"/>
      <c r="D1248" s="8"/>
      <c r="E1248" s="8"/>
      <c r="F1248" s="198"/>
      <c r="G1248" s="198"/>
      <c r="H1248" s="198"/>
      <c r="I1248" s="198"/>
      <c r="J1248" s="198"/>
    </row>
    <row r="1249" spans="2:10" s="15" customFormat="1" x14ac:dyDescent="0.25">
      <c r="B1249" s="26"/>
      <c r="D1249" s="8"/>
      <c r="E1249" s="8"/>
      <c r="F1249" s="198"/>
      <c r="G1249" s="198"/>
      <c r="H1249" s="198"/>
      <c r="I1249" s="198"/>
      <c r="J1249" s="198"/>
    </row>
    <row r="1250" spans="2:10" s="15" customFormat="1" x14ac:dyDescent="0.25">
      <c r="B1250" s="26"/>
      <c r="D1250" s="8"/>
      <c r="E1250" s="8"/>
      <c r="F1250" s="198"/>
      <c r="G1250" s="198"/>
      <c r="H1250" s="198"/>
      <c r="I1250" s="198"/>
      <c r="J1250" s="198"/>
    </row>
    <row r="1251" spans="2:10" s="15" customFormat="1" x14ac:dyDescent="0.25">
      <c r="B1251" s="26"/>
      <c r="D1251" s="8"/>
      <c r="E1251" s="8"/>
      <c r="F1251" s="198"/>
      <c r="G1251" s="198"/>
      <c r="H1251" s="198"/>
      <c r="I1251" s="198"/>
      <c r="J1251" s="198"/>
    </row>
    <row r="1252" spans="2:10" s="15" customFormat="1" x14ac:dyDescent="0.25">
      <c r="B1252" s="26"/>
      <c r="D1252" s="8"/>
      <c r="E1252" s="8"/>
      <c r="F1252" s="198"/>
      <c r="G1252" s="198"/>
      <c r="H1252" s="198"/>
      <c r="I1252" s="198"/>
      <c r="J1252" s="198"/>
    </row>
    <row r="1253" spans="2:10" s="15" customFormat="1" x14ac:dyDescent="0.25">
      <c r="B1253" s="26"/>
      <c r="D1253" s="8"/>
      <c r="E1253" s="8"/>
      <c r="F1253" s="198"/>
      <c r="G1253" s="198"/>
      <c r="H1253" s="198"/>
      <c r="I1253" s="198"/>
      <c r="J1253" s="198"/>
    </row>
    <row r="1254" spans="2:10" s="15" customFormat="1" x14ac:dyDescent="0.25">
      <c r="B1254" s="26"/>
      <c r="D1254" s="8"/>
      <c r="E1254" s="8"/>
      <c r="F1254" s="198"/>
      <c r="G1254" s="198"/>
      <c r="H1254" s="198"/>
      <c r="I1254" s="198"/>
      <c r="J1254" s="198"/>
    </row>
    <row r="1255" spans="2:10" s="15" customFormat="1" x14ac:dyDescent="0.25">
      <c r="B1255" s="26"/>
      <c r="D1255" s="8"/>
      <c r="E1255" s="8"/>
      <c r="F1255" s="198"/>
      <c r="G1255" s="198"/>
      <c r="H1255" s="198"/>
      <c r="I1255" s="198"/>
      <c r="J1255" s="198"/>
    </row>
    <row r="1256" spans="2:10" s="15" customFormat="1" x14ac:dyDescent="0.25">
      <c r="B1256" s="26"/>
      <c r="D1256" s="8"/>
      <c r="E1256" s="8"/>
      <c r="F1256" s="198"/>
      <c r="G1256" s="198"/>
      <c r="H1256" s="198"/>
      <c r="I1256" s="198"/>
      <c r="J1256" s="198"/>
    </row>
    <row r="1257" spans="2:10" s="15" customFormat="1" x14ac:dyDescent="0.25">
      <c r="B1257" s="26"/>
      <c r="D1257" s="8"/>
      <c r="E1257" s="8"/>
      <c r="F1257" s="198"/>
      <c r="G1257" s="198"/>
      <c r="H1257" s="198"/>
      <c r="I1257" s="198"/>
      <c r="J1257" s="198"/>
    </row>
    <row r="1258" spans="2:10" s="15" customFormat="1" x14ac:dyDescent="0.25">
      <c r="B1258" s="26"/>
      <c r="D1258" s="8"/>
      <c r="E1258" s="8"/>
      <c r="F1258" s="198"/>
      <c r="G1258" s="198"/>
      <c r="H1258" s="198"/>
      <c r="I1258" s="198"/>
      <c r="J1258" s="198"/>
    </row>
    <row r="1259" spans="2:10" s="15" customFormat="1" x14ac:dyDescent="0.25">
      <c r="B1259" s="26"/>
      <c r="D1259" s="8"/>
      <c r="E1259" s="8"/>
      <c r="F1259" s="198"/>
      <c r="G1259" s="198"/>
      <c r="H1259" s="198"/>
      <c r="I1259" s="198"/>
      <c r="J1259" s="198"/>
    </row>
    <row r="1260" spans="2:10" s="15" customFormat="1" x14ac:dyDescent="0.25">
      <c r="B1260" s="26"/>
      <c r="D1260" s="8"/>
      <c r="E1260" s="8"/>
      <c r="F1260" s="198"/>
      <c r="G1260" s="198"/>
      <c r="H1260" s="198"/>
      <c r="I1260" s="198"/>
      <c r="J1260" s="198"/>
    </row>
    <row r="1261" spans="2:10" s="15" customFormat="1" x14ac:dyDescent="0.25">
      <c r="B1261" s="26"/>
      <c r="D1261" s="8"/>
      <c r="E1261" s="8"/>
      <c r="F1261" s="198"/>
      <c r="G1261" s="198"/>
      <c r="H1261" s="198"/>
      <c r="I1261" s="198"/>
      <c r="J1261" s="198"/>
    </row>
    <row r="1262" spans="2:10" s="15" customFormat="1" x14ac:dyDescent="0.25">
      <c r="B1262" s="26"/>
      <c r="D1262" s="8"/>
      <c r="E1262" s="8"/>
      <c r="F1262" s="198"/>
      <c r="G1262" s="198"/>
      <c r="H1262" s="198"/>
      <c r="I1262" s="198"/>
      <c r="J1262" s="198"/>
    </row>
    <row r="1263" spans="2:10" s="15" customFormat="1" x14ac:dyDescent="0.25">
      <c r="B1263" s="26"/>
      <c r="D1263" s="8"/>
      <c r="E1263" s="8"/>
      <c r="F1263" s="198"/>
      <c r="G1263" s="198"/>
      <c r="H1263" s="198"/>
      <c r="I1263" s="198"/>
      <c r="J1263" s="198"/>
    </row>
    <row r="1264" spans="2:10" s="15" customFormat="1" x14ac:dyDescent="0.25">
      <c r="B1264" s="26"/>
      <c r="D1264" s="8"/>
      <c r="E1264" s="8"/>
      <c r="F1264" s="198"/>
      <c r="G1264" s="198"/>
      <c r="H1264" s="198"/>
      <c r="I1264" s="198"/>
      <c r="J1264" s="198"/>
    </row>
    <row r="1265" spans="2:10" s="15" customFormat="1" x14ac:dyDescent="0.25">
      <c r="B1265" s="26"/>
      <c r="D1265" s="8"/>
      <c r="E1265" s="8"/>
      <c r="F1265" s="198"/>
      <c r="G1265" s="198"/>
      <c r="H1265" s="198"/>
      <c r="I1265" s="198"/>
      <c r="J1265" s="198"/>
    </row>
    <row r="1266" spans="2:10" s="15" customFormat="1" x14ac:dyDescent="0.25">
      <c r="B1266" s="26"/>
      <c r="D1266" s="8"/>
      <c r="E1266" s="8"/>
      <c r="F1266" s="198"/>
      <c r="G1266" s="198"/>
      <c r="H1266" s="198"/>
      <c r="I1266" s="198"/>
      <c r="J1266" s="198"/>
    </row>
    <row r="1267" spans="2:10" s="15" customFormat="1" x14ac:dyDescent="0.25">
      <c r="B1267" s="26"/>
      <c r="D1267" s="8"/>
      <c r="E1267" s="8"/>
      <c r="F1267" s="198"/>
      <c r="G1267" s="198"/>
      <c r="H1267" s="198"/>
      <c r="I1267" s="198"/>
      <c r="J1267" s="198"/>
    </row>
    <row r="1268" spans="2:10" s="15" customFormat="1" x14ac:dyDescent="0.25">
      <c r="B1268" s="26"/>
      <c r="D1268" s="8"/>
      <c r="E1268" s="8"/>
      <c r="F1268" s="198"/>
      <c r="G1268" s="198"/>
      <c r="H1268" s="198"/>
      <c r="I1268" s="198"/>
      <c r="J1268" s="198"/>
    </row>
    <row r="1269" spans="2:10" s="15" customFormat="1" x14ac:dyDescent="0.25">
      <c r="B1269" s="26"/>
      <c r="D1269" s="8"/>
      <c r="E1269" s="8"/>
      <c r="F1269" s="198"/>
      <c r="G1269" s="198"/>
      <c r="H1269" s="198"/>
      <c r="I1269" s="198"/>
      <c r="J1269" s="198"/>
    </row>
    <row r="1270" spans="2:10" s="15" customFormat="1" x14ac:dyDescent="0.25">
      <c r="B1270" s="26"/>
      <c r="D1270" s="8"/>
      <c r="E1270" s="8"/>
      <c r="F1270" s="198"/>
      <c r="G1270" s="198"/>
      <c r="H1270" s="198"/>
      <c r="I1270" s="198"/>
      <c r="J1270" s="198"/>
    </row>
    <row r="1271" spans="2:10" s="15" customFormat="1" x14ac:dyDescent="0.25">
      <c r="B1271" s="26"/>
      <c r="D1271" s="8"/>
      <c r="E1271" s="8"/>
      <c r="F1271" s="198"/>
      <c r="G1271" s="198"/>
      <c r="H1271" s="198"/>
      <c r="I1271" s="198"/>
      <c r="J1271" s="198"/>
    </row>
    <row r="1272" spans="2:10" s="15" customFormat="1" x14ac:dyDescent="0.25">
      <c r="B1272" s="26"/>
      <c r="D1272" s="8"/>
      <c r="E1272" s="8"/>
      <c r="F1272" s="198"/>
      <c r="G1272" s="198"/>
      <c r="H1272" s="198"/>
      <c r="I1272" s="198"/>
      <c r="J1272" s="198"/>
    </row>
    <row r="1273" spans="2:10" s="15" customFormat="1" x14ac:dyDescent="0.25">
      <c r="B1273" s="26"/>
      <c r="D1273" s="8"/>
      <c r="E1273" s="8"/>
      <c r="F1273" s="198"/>
      <c r="G1273" s="198"/>
      <c r="H1273" s="198"/>
      <c r="I1273" s="198"/>
      <c r="J1273" s="198"/>
    </row>
    <row r="1274" spans="2:10" s="15" customFormat="1" x14ac:dyDescent="0.25">
      <c r="B1274" s="26"/>
      <c r="D1274" s="8"/>
      <c r="E1274" s="8"/>
      <c r="F1274" s="198"/>
      <c r="G1274" s="198"/>
      <c r="H1274" s="198"/>
      <c r="I1274" s="198"/>
      <c r="J1274" s="198"/>
    </row>
    <row r="1275" spans="2:10" s="15" customFormat="1" x14ac:dyDescent="0.25">
      <c r="B1275" s="26"/>
      <c r="D1275" s="8"/>
      <c r="E1275" s="8"/>
      <c r="F1275" s="198"/>
      <c r="G1275" s="198"/>
      <c r="H1275" s="198"/>
      <c r="I1275" s="198"/>
      <c r="J1275" s="198"/>
    </row>
    <row r="1276" spans="2:10" s="15" customFormat="1" x14ac:dyDescent="0.25">
      <c r="B1276" s="26"/>
      <c r="D1276" s="8"/>
      <c r="E1276" s="8"/>
      <c r="F1276" s="198"/>
      <c r="G1276" s="198"/>
      <c r="H1276" s="198"/>
      <c r="I1276" s="198"/>
      <c r="J1276" s="198"/>
    </row>
    <row r="1277" spans="2:10" s="15" customFormat="1" x14ac:dyDescent="0.25">
      <c r="B1277" s="26"/>
      <c r="D1277" s="8"/>
      <c r="E1277" s="8"/>
      <c r="F1277" s="198"/>
      <c r="G1277" s="198"/>
      <c r="H1277" s="198"/>
      <c r="I1277" s="198"/>
      <c r="J1277" s="198"/>
    </row>
    <row r="1278" spans="2:10" s="15" customFormat="1" x14ac:dyDescent="0.25">
      <c r="B1278" s="26"/>
      <c r="D1278" s="8"/>
      <c r="E1278" s="8"/>
      <c r="F1278" s="198"/>
      <c r="G1278" s="198"/>
      <c r="H1278" s="198"/>
      <c r="I1278" s="198"/>
      <c r="J1278" s="198"/>
    </row>
    <row r="1279" spans="2:10" s="15" customFormat="1" x14ac:dyDescent="0.25">
      <c r="B1279" s="26"/>
      <c r="D1279" s="8"/>
      <c r="E1279" s="8"/>
      <c r="F1279" s="198"/>
      <c r="G1279" s="198"/>
      <c r="H1279" s="198"/>
      <c r="I1279" s="198"/>
      <c r="J1279" s="198"/>
    </row>
    <row r="1280" spans="2:10" s="15" customFormat="1" x14ac:dyDescent="0.25">
      <c r="B1280" s="26"/>
      <c r="D1280" s="8"/>
      <c r="E1280" s="8"/>
      <c r="F1280" s="198"/>
      <c r="G1280" s="198"/>
      <c r="H1280" s="198"/>
      <c r="I1280" s="198"/>
      <c r="J1280" s="198"/>
    </row>
    <row r="1281" spans="2:10" s="15" customFormat="1" x14ac:dyDescent="0.25">
      <c r="B1281" s="26"/>
      <c r="D1281" s="8"/>
      <c r="E1281" s="8"/>
      <c r="F1281" s="198"/>
      <c r="G1281" s="198"/>
      <c r="H1281" s="198"/>
      <c r="I1281" s="198"/>
      <c r="J1281" s="198"/>
    </row>
    <row r="1282" spans="2:10" s="15" customFormat="1" x14ac:dyDescent="0.25">
      <c r="B1282" s="26"/>
      <c r="D1282" s="8"/>
      <c r="E1282" s="8"/>
      <c r="F1282" s="198"/>
      <c r="G1282" s="198"/>
      <c r="H1282" s="198"/>
      <c r="I1282" s="198"/>
      <c r="J1282" s="198"/>
    </row>
    <row r="1283" spans="2:10" s="15" customFormat="1" x14ac:dyDescent="0.25">
      <c r="B1283" s="26"/>
      <c r="D1283" s="8"/>
      <c r="E1283" s="8"/>
      <c r="F1283" s="198"/>
      <c r="G1283" s="198"/>
      <c r="H1283" s="198"/>
      <c r="I1283" s="198"/>
      <c r="J1283" s="198"/>
    </row>
    <row r="1284" spans="2:10" s="15" customFormat="1" x14ac:dyDescent="0.25">
      <c r="B1284" s="26"/>
      <c r="D1284" s="8"/>
      <c r="E1284" s="8"/>
      <c r="F1284" s="198"/>
      <c r="G1284" s="198"/>
      <c r="H1284" s="198"/>
      <c r="I1284" s="198"/>
      <c r="J1284" s="198"/>
    </row>
    <row r="1285" spans="2:10" s="15" customFormat="1" x14ac:dyDescent="0.25">
      <c r="B1285" s="26"/>
      <c r="D1285" s="8"/>
      <c r="E1285" s="8"/>
      <c r="F1285" s="198"/>
      <c r="G1285" s="198"/>
      <c r="H1285" s="198"/>
      <c r="I1285" s="198"/>
      <c r="J1285" s="198"/>
    </row>
    <row r="1286" spans="2:10" s="15" customFormat="1" x14ac:dyDescent="0.25">
      <c r="B1286" s="26"/>
      <c r="D1286" s="8"/>
      <c r="E1286" s="8"/>
      <c r="F1286" s="198"/>
      <c r="G1286" s="198"/>
      <c r="H1286" s="198"/>
      <c r="I1286" s="198"/>
      <c r="J1286" s="198"/>
    </row>
    <row r="1287" spans="2:10" s="15" customFormat="1" x14ac:dyDescent="0.25">
      <c r="B1287" s="26"/>
      <c r="D1287" s="8"/>
      <c r="E1287" s="8"/>
      <c r="F1287" s="198"/>
      <c r="G1287" s="198"/>
      <c r="H1287" s="198"/>
      <c r="I1287" s="198"/>
      <c r="J1287" s="198"/>
    </row>
    <row r="1288" spans="2:10" s="15" customFormat="1" x14ac:dyDescent="0.25">
      <c r="B1288" s="26"/>
      <c r="D1288" s="8"/>
      <c r="E1288" s="8"/>
      <c r="F1288" s="198"/>
      <c r="G1288" s="198"/>
      <c r="H1288" s="198"/>
      <c r="I1288" s="198"/>
      <c r="J1288" s="198"/>
    </row>
    <row r="1289" spans="2:10" s="15" customFormat="1" x14ac:dyDescent="0.25">
      <c r="B1289" s="26"/>
      <c r="D1289" s="8"/>
      <c r="E1289" s="8"/>
      <c r="F1289" s="198"/>
      <c r="G1289" s="198"/>
      <c r="H1289" s="198"/>
      <c r="I1289" s="198"/>
      <c r="J1289" s="198"/>
    </row>
    <row r="1290" spans="2:10" s="15" customFormat="1" x14ac:dyDescent="0.25">
      <c r="B1290" s="26"/>
      <c r="D1290" s="8"/>
      <c r="E1290" s="8"/>
      <c r="F1290" s="198"/>
      <c r="G1290" s="198"/>
      <c r="H1290" s="198"/>
      <c r="I1290" s="198"/>
      <c r="J1290" s="198"/>
    </row>
    <row r="1291" spans="2:10" s="15" customFormat="1" x14ac:dyDescent="0.25">
      <c r="B1291" s="26"/>
      <c r="D1291" s="8"/>
      <c r="E1291" s="8"/>
      <c r="F1291" s="198"/>
      <c r="G1291" s="198"/>
      <c r="H1291" s="198"/>
      <c r="I1291" s="198"/>
      <c r="J1291" s="198"/>
    </row>
    <row r="1292" spans="2:10" s="15" customFormat="1" x14ac:dyDescent="0.25">
      <c r="B1292" s="26"/>
      <c r="D1292" s="8"/>
      <c r="E1292" s="8"/>
      <c r="F1292" s="198"/>
      <c r="G1292" s="198"/>
      <c r="H1292" s="198"/>
      <c r="I1292" s="198"/>
      <c r="J1292" s="198"/>
    </row>
    <row r="1293" spans="2:10" s="15" customFormat="1" x14ac:dyDescent="0.25">
      <c r="B1293" s="26"/>
      <c r="D1293" s="8"/>
      <c r="E1293" s="8"/>
      <c r="F1293" s="198"/>
      <c r="G1293" s="198"/>
      <c r="H1293" s="198"/>
      <c r="I1293" s="198"/>
      <c r="J1293" s="198"/>
    </row>
    <row r="1294" spans="2:10" s="15" customFormat="1" x14ac:dyDescent="0.25">
      <c r="B1294" s="26"/>
      <c r="D1294" s="8"/>
      <c r="E1294" s="8"/>
      <c r="F1294" s="198"/>
      <c r="G1294" s="198"/>
      <c r="H1294" s="198"/>
      <c r="I1294" s="198"/>
      <c r="J1294" s="198"/>
    </row>
    <row r="1295" spans="2:10" s="15" customFormat="1" x14ac:dyDescent="0.25">
      <c r="B1295" s="26"/>
      <c r="D1295" s="8"/>
      <c r="E1295" s="8"/>
      <c r="F1295" s="198"/>
      <c r="G1295" s="198"/>
      <c r="H1295" s="198"/>
      <c r="I1295" s="198"/>
      <c r="J1295" s="198"/>
    </row>
    <row r="1296" spans="2:10" s="15" customFormat="1" x14ac:dyDescent="0.25">
      <c r="B1296" s="26"/>
      <c r="D1296" s="8"/>
      <c r="E1296" s="8"/>
      <c r="F1296" s="198"/>
      <c r="G1296" s="198"/>
      <c r="H1296" s="198"/>
      <c r="I1296" s="198"/>
      <c r="J1296" s="198"/>
    </row>
    <row r="1297" spans="2:10" s="15" customFormat="1" x14ac:dyDescent="0.25">
      <c r="B1297" s="26"/>
      <c r="D1297" s="8"/>
      <c r="E1297" s="8"/>
      <c r="F1297" s="198"/>
      <c r="G1297" s="198"/>
      <c r="H1297" s="198"/>
      <c r="I1297" s="198"/>
      <c r="J1297" s="198"/>
    </row>
    <row r="1298" spans="2:10" s="15" customFormat="1" x14ac:dyDescent="0.25">
      <c r="B1298" s="26"/>
      <c r="D1298" s="8"/>
      <c r="E1298" s="8"/>
      <c r="F1298" s="198"/>
      <c r="G1298" s="198"/>
      <c r="H1298" s="198"/>
      <c r="I1298" s="198"/>
      <c r="J1298" s="198"/>
    </row>
    <row r="1299" spans="2:10" s="15" customFormat="1" x14ac:dyDescent="0.25">
      <c r="B1299" s="26"/>
      <c r="D1299" s="8"/>
      <c r="E1299" s="8"/>
      <c r="F1299" s="198"/>
      <c r="G1299" s="198"/>
      <c r="H1299" s="198"/>
      <c r="I1299" s="198"/>
      <c r="J1299" s="198"/>
    </row>
    <row r="1300" spans="2:10" s="15" customFormat="1" x14ac:dyDescent="0.25">
      <c r="B1300" s="26"/>
      <c r="D1300" s="8"/>
      <c r="E1300" s="8"/>
      <c r="F1300" s="198"/>
      <c r="G1300" s="198"/>
      <c r="H1300" s="198"/>
      <c r="I1300" s="198"/>
      <c r="J1300" s="198"/>
    </row>
    <row r="1301" spans="2:10" s="15" customFormat="1" x14ac:dyDescent="0.25">
      <c r="B1301" s="26"/>
      <c r="D1301" s="8"/>
      <c r="E1301" s="8"/>
      <c r="F1301" s="198"/>
      <c r="G1301" s="198"/>
      <c r="H1301" s="198"/>
      <c r="I1301" s="198"/>
      <c r="J1301" s="198"/>
    </row>
    <row r="1302" spans="2:10" s="15" customFormat="1" x14ac:dyDescent="0.25">
      <c r="B1302" s="26"/>
      <c r="D1302" s="8"/>
      <c r="E1302" s="8"/>
      <c r="F1302" s="198"/>
      <c r="G1302" s="198"/>
      <c r="H1302" s="198"/>
      <c r="I1302" s="198"/>
      <c r="J1302" s="198"/>
    </row>
    <row r="1303" spans="2:10" s="15" customFormat="1" x14ac:dyDescent="0.25">
      <c r="B1303" s="26"/>
      <c r="D1303" s="8"/>
      <c r="E1303" s="8"/>
      <c r="F1303" s="198"/>
      <c r="G1303" s="198"/>
      <c r="H1303" s="198"/>
      <c r="I1303" s="198"/>
      <c r="J1303" s="198"/>
    </row>
    <row r="1304" spans="2:10" s="15" customFormat="1" x14ac:dyDescent="0.25">
      <c r="B1304" s="26"/>
      <c r="D1304" s="8"/>
      <c r="E1304" s="8"/>
      <c r="F1304" s="198"/>
      <c r="G1304" s="198"/>
      <c r="H1304" s="198"/>
      <c r="I1304" s="198"/>
      <c r="J1304" s="198"/>
    </row>
    <row r="1305" spans="2:10" s="15" customFormat="1" x14ac:dyDescent="0.25">
      <c r="B1305" s="26"/>
      <c r="D1305" s="8"/>
      <c r="E1305" s="8"/>
      <c r="F1305" s="198"/>
      <c r="G1305" s="198"/>
      <c r="H1305" s="198"/>
      <c r="I1305" s="198"/>
      <c r="J1305" s="198"/>
    </row>
    <row r="1306" spans="2:10" s="15" customFormat="1" x14ac:dyDescent="0.25">
      <c r="B1306" s="26"/>
      <c r="D1306" s="8"/>
      <c r="E1306" s="8"/>
      <c r="F1306" s="198"/>
      <c r="G1306" s="198"/>
      <c r="H1306" s="198"/>
      <c r="I1306" s="198"/>
      <c r="J1306" s="198"/>
    </row>
    <row r="1307" spans="2:10" s="15" customFormat="1" x14ac:dyDescent="0.25">
      <c r="B1307" s="26"/>
      <c r="D1307" s="8"/>
      <c r="E1307" s="8"/>
      <c r="F1307" s="198"/>
      <c r="G1307" s="198"/>
      <c r="H1307" s="198"/>
      <c r="I1307" s="198"/>
      <c r="J1307" s="198"/>
    </row>
    <row r="1308" spans="2:10" s="15" customFormat="1" x14ac:dyDescent="0.25">
      <c r="B1308" s="26"/>
      <c r="D1308" s="8"/>
      <c r="E1308" s="8"/>
      <c r="F1308" s="198"/>
      <c r="G1308" s="198"/>
      <c r="H1308" s="198"/>
      <c r="I1308" s="198"/>
      <c r="J1308" s="198"/>
    </row>
    <row r="1309" spans="2:10" s="15" customFormat="1" x14ac:dyDescent="0.25">
      <c r="B1309" s="26"/>
      <c r="D1309" s="8"/>
      <c r="E1309" s="8"/>
      <c r="F1309" s="198"/>
      <c r="G1309" s="198"/>
      <c r="H1309" s="198"/>
      <c r="I1309" s="198"/>
      <c r="J1309" s="198"/>
    </row>
    <row r="1310" spans="2:10" s="15" customFormat="1" x14ac:dyDescent="0.25">
      <c r="B1310" s="26"/>
      <c r="D1310" s="8"/>
      <c r="E1310" s="8"/>
      <c r="F1310" s="198"/>
      <c r="G1310" s="198"/>
      <c r="H1310" s="198"/>
      <c r="I1310" s="198"/>
      <c r="J1310" s="198"/>
    </row>
    <row r="1311" spans="2:10" s="15" customFormat="1" x14ac:dyDescent="0.25">
      <c r="B1311" s="26"/>
      <c r="D1311" s="8"/>
      <c r="E1311" s="8"/>
      <c r="F1311" s="198"/>
      <c r="G1311" s="198"/>
      <c r="H1311" s="198"/>
      <c r="I1311" s="198"/>
      <c r="J1311" s="198"/>
    </row>
    <row r="1312" spans="2:10" s="15" customFormat="1" x14ac:dyDescent="0.25">
      <c r="B1312" s="26"/>
      <c r="D1312" s="8"/>
      <c r="E1312" s="8"/>
      <c r="F1312" s="198"/>
      <c r="G1312" s="198"/>
      <c r="H1312" s="198"/>
      <c r="I1312" s="198"/>
      <c r="J1312" s="198"/>
    </row>
    <row r="1313" spans="2:10" s="15" customFormat="1" x14ac:dyDescent="0.25">
      <c r="B1313" s="26"/>
      <c r="D1313" s="8"/>
      <c r="E1313" s="8"/>
      <c r="F1313" s="198"/>
      <c r="G1313" s="198"/>
      <c r="H1313" s="198"/>
      <c r="I1313" s="198"/>
      <c r="J1313" s="198"/>
    </row>
    <row r="1314" spans="2:10" s="15" customFormat="1" x14ac:dyDescent="0.25">
      <c r="B1314" s="26"/>
      <c r="D1314" s="8"/>
      <c r="E1314" s="8"/>
      <c r="F1314" s="198"/>
      <c r="G1314" s="198"/>
      <c r="H1314" s="198"/>
      <c r="I1314" s="198"/>
      <c r="J1314" s="198"/>
    </row>
    <row r="1315" spans="2:10" s="15" customFormat="1" x14ac:dyDescent="0.25">
      <c r="B1315" s="26"/>
      <c r="D1315" s="8"/>
      <c r="E1315" s="8"/>
      <c r="F1315" s="198"/>
      <c r="G1315" s="198"/>
      <c r="H1315" s="198"/>
      <c r="I1315" s="198"/>
      <c r="J1315" s="198"/>
    </row>
    <row r="1316" spans="2:10" s="15" customFormat="1" x14ac:dyDescent="0.25">
      <c r="B1316" s="26"/>
      <c r="D1316" s="8"/>
      <c r="E1316" s="8"/>
      <c r="F1316" s="198"/>
      <c r="G1316" s="198"/>
      <c r="H1316" s="198"/>
      <c r="I1316" s="198"/>
      <c r="J1316" s="198"/>
    </row>
    <row r="1317" spans="2:10" s="15" customFormat="1" x14ac:dyDescent="0.25">
      <c r="B1317" s="26"/>
      <c r="D1317" s="8"/>
      <c r="E1317" s="8"/>
      <c r="F1317" s="198"/>
      <c r="G1317" s="198"/>
      <c r="H1317" s="198"/>
      <c r="I1317" s="198"/>
      <c r="J1317" s="198"/>
    </row>
    <row r="1318" spans="2:10" s="15" customFormat="1" x14ac:dyDescent="0.25">
      <c r="B1318" s="26"/>
      <c r="D1318" s="8"/>
      <c r="E1318" s="8"/>
      <c r="F1318" s="198"/>
      <c r="G1318" s="198"/>
      <c r="H1318" s="198"/>
      <c r="I1318" s="198"/>
      <c r="J1318" s="198"/>
    </row>
    <row r="1319" spans="2:10" s="15" customFormat="1" x14ac:dyDescent="0.25">
      <c r="B1319" s="26"/>
      <c r="D1319" s="8"/>
      <c r="E1319" s="8"/>
      <c r="F1319" s="198"/>
      <c r="G1319" s="198"/>
      <c r="H1319" s="198"/>
      <c r="I1319" s="198"/>
      <c r="J1319" s="198"/>
    </row>
    <row r="1320" spans="2:10" s="15" customFormat="1" x14ac:dyDescent="0.25">
      <c r="B1320" s="26"/>
      <c r="D1320" s="8"/>
      <c r="E1320" s="8"/>
      <c r="F1320" s="198"/>
      <c r="G1320" s="198"/>
      <c r="H1320" s="198"/>
      <c r="I1320" s="198"/>
      <c r="J1320" s="198"/>
    </row>
    <row r="1321" spans="2:10" s="15" customFormat="1" x14ac:dyDescent="0.25">
      <c r="B1321" s="26"/>
      <c r="D1321" s="8"/>
      <c r="E1321" s="8"/>
      <c r="F1321" s="198"/>
      <c r="G1321" s="198"/>
      <c r="H1321" s="198"/>
      <c r="I1321" s="198"/>
      <c r="J1321" s="198"/>
    </row>
    <row r="1322" spans="2:10" s="15" customFormat="1" x14ac:dyDescent="0.25">
      <c r="B1322" s="26"/>
      <c r="D1322" s="8"/>
      <c r="E1322" s="8"/>
      <c r="F1322" s="198"/>
      <c r="G1322" s="198"/>
      <c r="H1322" s="198"/>
      <c r="I1322" s="198"/>
      <c r="J1322" s="198"/>
    </row>
    <row r="1323" spans="2:10" s="15" customFormat="1" x14ac:dyDescent="0.25">
      <c r="B1323" s="26"/>
      <c r="D1323" s="8"/>
      <c r="E1323" s="8"/>
      <c r="F1323" s="198"/>
      <c r="G1323" s="198"/>
      <c r="H1323" s="198"/>
      <c r="I1323" s="198"/>
      <c r="J1323" s="198"/>
    </row>
    <row r="1324" spans="2:10" s="15" customFormat="1" x14ac:dyDescent="0.25">
      <c r="B1324" s="26"/>
      <c r="D1324" s="8"/>
      <c r="E1324" s="8"/>
      <c r="F1324" s="198"/>
      <c r="G1324" s="198"/>
      <c r="H1324" s="198"/>
      <c r="I1324" s="198"/>
      <c r="J1324" s="198"/>
    </row>
    <row r="1325" spans="2:10" s="15" customFormat="1" x14ac:dyDescent="0.25">
      <c r="B1325" s="26"/>
      <c r="D1325" s="8"/>
      <c r="E1325" s="8"/>
      <c r="F1325" s="198"/>
      <c r="G1325" s="198"/>
      <c r="H1325" s="198"/>
      <c r="I1325" s="198"/>
      <c r="J1325" s="198"/>
    </row>
    <row r="1326" spans="2:10" s="15" customFormat="1" x14ac:dyDescent="0.25">
      <c r="B1326" s="26"/>
      <c r="D1326" s="8"/>
      <c r="E1326" s="8"/>
      <c r="F1326" s="198"/>
      <c r="G1326" s="198"/>
      <c r="H1326" s="198"/>
      <c r="I1326" s="198"/>
      <c r="J1326" s="198"/>
    </row>
    <row r="1327" spans="2:10" s="15" customFormat="1" x14ac:dyDescent="0.25">
      <c r="B1327" s="26"/>
      <c r="D1327" s="8"/>
      <c r="E1327" s="8"/>
      <c r="F1327" s="198"/>
      <c r="G1327" s="198"/>
      <c r="H1327" s="198"/>
      <c r="I1327" s="198"/>
      <c r="J1327" s="198"/>
    </row>
    <row r="1328" spans="2:10" s="15" customFormat="1" x14ac:dyDescent="0.25">
      <c r="B1328" s="26"/>
      <c r="D1328" s="8"/>
      <c r="E1328" s="8"/>
      <c r="F1328" s="198"/>
      <c r="G1328" s="198"/>
      <c r="H1328" s="198"/>
      <c r="I1328" s="198"/>
      <c r="J1328" s="198"/>
    </row>
    <row r="1329" spans="2:10" s="15" customFormat="1" x14ac:dyDescent="0.25">
      <c r="B1329" s="26"/>
      <c r="D1329" s="8"/>
      <c r="E1329" s="8"/>
      <c r="F1329" s="198"/>
      <c r="G1329" s="198"/>
      <c r="H1329" s="198"/>
      <c r="I1329" s="198"/>
      <c r="J1329" s="198"/>
    </row>
    <row r="1330" spans="2:10" s="15" customFormat="1" x14ac:dyDescent="0.25">
      <c r="B1330" s="26"/>
      <c r="D1330" s="8"/>
      <c r="E1330" s="8"/>
      <c r="F1330" s="198"/>
      <c r="G1330" s="198"/>
      <c r="H1330" s="198"/>
      <c r="I1330" s="198"/>
      <c r="J1330" s="198"/>
    </row>
    <row r="1331" spans="2:10" s="15" customFormat="1" x14ac:dyDescent="0.25">
      <c r="B1331" s="26"/>
      <c r="D1331" s="8"/>
      <c r="E1331" s="8"/>
      <c r="F1331" s="198"/>
      <c r="G1331" s="198"/>
      <c r="H1331" s="198"/>
      <c r="I1331" s="198"/>
      <c r="J1331" s="198"/>
    </row>
    <row r="1332" spans="2:10" s="15" customFormat="1" x14ac:dyDescent="0.25">
      <c r="B1332" s="26"/>
      <c r="D1332" s="8"/>
      <c r="E1332" s="8"/>
      <c r="F1332" s="198"/>
      <c r="G1332" s="198"/>
      <c r="H1332" s="198"/>
      <c r="I1332" s="198"/>
      <c r="J1332" s="198"/>
    </row>
    <row r="1333" spans="2:10" s="15" customFormat="1" x14ac:dyDescent="0.25">
      <c r="B1333" s="26"/>
      <c r="D1333" s="8"/>
      <c r="E1333" s="8"/>
      <c r="F1333" s="198"/>
      <c r="G1333" s="198"/>
      <c r="H1333" s="198"/>
      <c r="I1333" s="198"/>
      <c r="J1333" s="198"/>
    </row>
    <row r="1334" spans="2:10" s="15" customFormat="1" x14ac:dyDescent="0.25">
      <c r="B1334" s="26"/>
      <c r="D1334" s="8"/>
      <c r="E1334" s="8"/>
      <c r="F1334" s="198"/>
      <c r="G1334" s="198"/>
      <c r="H1334" s="198"/>
      <c r="I1334" s="198"/>
      <c r="J1334" s="198"/>
    </row>
    <row r="1335" spans="2:10" s="15" customFormat="1" x14ac:dyDescent="0.25">
      <c r="B1335" s="26"/>
      <c r="D1335" s="8"/>
      <c r="E1335" s="8"/>
      <c r="F1335" s="198"/>
      <c r="G1335" s="198"/>
      <c r="H1335" s="198"/>
      <c r="I1335" s="198"/>
      <c r="J1335" s="198"/>
    </row>
    <row r="1336" spans="2:10" s="15" customFormat="1" x14ac:dyDescent="0.25">
      <c r="B1336" s="26"/>
      <c r="D1336" s="8"/>
      <c r="E1336" s="8"/>
      <c r="F1336" s="198"/>
      <c r="G1336" s="198"/>
      <c r="H1336" s="198"/>
      <c r="I1336" s="198"/>
      <c r="J1336" s="198"/>
    </row>
    <row r="1337" spans="2:10" s="15" customFormat="1" x14ac:dyDescent="0.25">
      <c r="B1337" s="26"/>
      <c r="D1337" s="8"/>
      <c r="E1337" s="8"/>
      <c r="F1337" s="198"/>
      <c r="G1337" s="198"/>
      <c r="H1337" s="198"/>
      <c r="I1337" s="198"/>
      <c r="J1337" s="198"/>
    </row>
    <row r="1338" spans="2:10" s="15" customFormat="1" x14ac:dyDescent="0.25">
      <c r="B1338" s="26"/>
      <c r="D1338" s="8"/>
      <c r="E1338" s="8"/>
      <c r="F1338" s="198"/>
      <c r="G1338" s="198"/>
      <c r="H1338" s="198"/>
      <c r="I1338" s="198"/>
      <c r="J1338" s="198"/>
    </row>
    <row r="1339" spans="2:10" s="15" customFormat="1" x14ac:dyDescent="0.25">
      <c r="B1339" s="26"/>
      <c r="D1339" s="8"/>
      <c r="E1339" s="8"/>
      <c r="F1339" s="198"/>
      <c r="G1339" s="198"/>
      <c r="H1339" s="198"/>
      <c r="I1339" s="198"/>
      <c r="J1339" s="198"/>
    </row>
    <row r="1340" spans="2:10" s="15" customFormat="1" x14ac:dyDescent="0.25">
      <c r="B1340" s="26"/>
      <c r="D1340" s="8"/>
      <c r="E1340" s="8"/>
      <c r="F1340" s="198"/>
      <c r="G1340" s="198"/>
      <c r="H1340" s="198"/>
      <c r="I1340" s="198"/>
      <c r="J1340" s="198"/>
    </row>
    <row r="1341" spans="2:10" s="15" customFormat="1" x14ac:dyDescent="0.25">
      <c r="B1341" s="26"/>
      <c r="D1341" s="8"/>
      <c r="E1341" s="8"/>
      <c r="F1341" s="198"/>
      <c r="G1341" s="198"/>
      <c r="H1341" s="198"/>
      <c r="I1341" s="198"/>
      <c r="J1341" s="198"/>
    </row>
    <row r="1342" spans="2:10" s="15" customFormat="1" x14ac:dyDescent="0.25">
      <c r="B1342" s="26"/>
      <c r="D1342" s="8"/>
      <c r="E1342" s="8"/>
      <c r="F1342" s="198"/>
      <c r="G1342" s="198"/>
      <c r="H1342" s="198"/>
      <c r="I1342" s="198"/>
      <c r="J1342" s="198"/>
    </row>
    <row r="1343" spans="2:10" s="15" customFormat="1" x14ac:dyDescent="0.25">
      <c r="B1343" s="26"/>
      <c r="D1343" s="8"/>
      <c r="E1343" s="8"/>
      <c r="F1343" s="198"/>
      <c r="G1343" s="198"/>
      <c r="H1343" s="198"/>
      <c r="I1343" s="198"/>
      <c r="J1343" s="198"/>
    </row>
    <row r="1344" spans="2:10" s="15" customFormat="1" x14ac:dyDescent="0.25">
      <c r="B1344" s="26"/>
      <c r="D1344" s="8"/>
      <c r="E1344" s="8"/>
      <c r="F1344" s="198"/>
      <c r="G1344" s="198"/>
      <c r="H1344" s="198"/>
      <c r="I1344" s="198"/>
      <c r="J1344" s="198"/>
    </row>
    <row r="1345" spans="2:10" s="15" customFormat="1" x14ac:dyDescent="0.25">
      <c r="B1345" s="26"/>
      <c r="D1345" s="8"/>
      <c r="E1345" s="8"/>
      <c r="F1345" s="198"/>
      <c r="G1345" s="198"/>
      <c r="H1345" s="198"/>
      <c r="I1345" s="198"/>
      <c r="J1345" s="198"/>
    </row>
    <row r="1346" spans="2:10" s="15" customFormat="1" x14ac:dyDescent="0.25">
      <c r="B1346" s="26"/>
      <c r="D1346" s="8"/>
      <c r="E1346" s="8"/>
      <c r="F1346" s="198"/>
      <c r="G1346" s="198"/>
      <c r="H1346" s="198"/>
      <c r="I1346" s="198"/>
      <c r="J1346" s="198"/>
    </row>
    <row r="1347" spans="2:10" s="15" customFormat="1" x14ac:dyDescent="0.25">
      <c r="B1347" s="26"/>
      <c r="D1347" s="8"/>
      <c r="E1347" s="8"/>
      <c r="F1347" s="198"/>
      <c r="G1347" s="198"/>
      <c r="H1347" s="198"/>
      <c r="I1347" s="198"/>
      <c r="J1347" s="198"/>
    </row>
    <row r="1348" spans="2:10" s="15" customFormat="1" x14ac:dyDescent="0.25">
      <c r="B1348" s="26"/>
      <c r="D1348" s="8"/>
      <c r="E1348" s="8"/>
      <c r="F1348" s="198"/>
      <c r="G1348" s="198"/>
      <c r="H1348" s="198"/>
      <c r="I1348" s="198"/>
      <c r="J1348" s="198"/>
    </row>
    <row r="1349" spans="2:10" s="15" customFormat="1" x14ac:dyDescent="0.25">
      <c r="B1349" s="26"/>
      <c r="D1349" s="8"/>
      <c r="E1349" s="8"/>
      <c r="F1349" s="198"/>
      <c r="G1349" s="198"/>
      <c r="H1349" s="198"/>
      <c r="I1349" s="198"/>
      <c r="J1349" s="198"/>
    </row>
    <row r="1350" spans="2:10" s="15" customFormat="1" x14ac:dyDescent="0.25">
      <c r="B1350" s="26"/>
      <c r="D1350" s="8"/>
      <c r="E1350" s="8"/>
      <c r="F1350" s="198"/>
      <c r="G1350" s="198"/>
      <c r="H1350" s="198"/>
      <c r="I1350" s="198"/>
      <c r="J1350" s="198"/>
    </row>
    <row r="1351" spans="2:10" s="15" customFormat="1" x14ac:dyDescent="0.25">
      <c r="B1351" s="26"/>
      <c r="D1351" s="8"/>
      <c r="E1351" s="8"/>
      <c r="F1351" s="198"/>
      <c r="G1351" s="198"/>
      <c r="H1351" s="198"/>
      <c r="I1351" s="198"/>
      <c r="J1351" s="198"/>
    </row>
    <row r="1352" spans="2:10" s="15" customFormat="1" x14ac:dyDescent="0.25">
      <c r="B1352" s="26"/>
      <c r="D1352" s="8"/>
      <c r="E1352" s="8"/>
      <c r="F1352" s="198"/>
      <c r="G1352" s="198"/>
      <c r="H1352" s="198"/>
      <c r="I1352" s="198"/>
      <c r="J1352" s="198"/>
    </row>
    <row r="1353" spans="2:10" s="15" customFormat="1" x14ac:dyDescent="0.25">
      <c r="B1353" s="26"/>
      <c r="D1353" s="8"/>
      <c r="E1353" s="8"/>
      <c r="F1353" s="198"/>
      <c r="G1353" s="198"/>
      <c r="H1353" s="198"/>
      <c r="I1353" s="198"/>
      <c r="J1353" s="198"/>
    </row>
    <row r="1354" spans="2:10" s="15" customFormat="1" x14ac:dyDescent="0.25">
      <c r="B1354" s="26"/>
      <c r="D1354" s="8"/>
      <c r="E1354" s="8"/>
      <c r="F1354" s="198"/>
      <c r="G1354" s="198"/>
      <c r="H1354" s="198"/>
      <c r="I1354" s="198"/>
      <c r="J1354" s="198"/>
    </row>
    <row r="1355" spans="2:10" s="15" customFormat="1" x14ac:dyDescent="0.25">
      <c r="B1355" s="26"/>
      <c r="D1355" s="8"/>
      <c r="E1355" s="8"/>
      <c r="F1355" s="198"/>
      <c r="G1355" s="198"/>
      <c r="H1355" s="198"/>
      <c r="I1355" s="198"/>
      <c r="J1355" s="198"/>
    </row>
    <row r="1356" spans="2:10" s="15" customFormat="1" x14ac:dyDescent="0.25">
      <c r="B1356" s="26"/>
      <c r="D1356" s="8"/>
      <c r="E1356" s="8"/>
      <c r="F1356" s="198"/>
      <c r="G1356" s="198"/>
      <c r="H1356" s="198"/>
      <c r="I1356" s="198"/>
      <c r="J1356" s="198"/>
    </row>
    <row r="1357" spans="2:10" s="15" customFormat="1" x14ac:dyDescent="0.25">
      <c r="B1357" s="26"/>
      <c r="D1357" s="8"/>
      <c r="E1357" s="8"/>
      <c r="F1357" s="198"/>
      <c r="G1357" s="198"/>
      <c r="H1357" s="198"/>
      <c r="I1357" s="198"/>
      <c r="J1357" s="198"/>
    </row>
    <row r="1358" spans="2:10" s="15" customFormat="1" x14ac:dyDescent="0.25">
      <c r="B1358" s="26"/>
      <c r="D1358" s="8"/>
      <c r="E1358" s="8"/>
      <c r="F1358" s="198"/>
      <c r="G1358" s="198"/>
      <c r="H1358" s="198"/>
      <c r="I1358" s="198"/>
      <c r="J1358" s="198"/>
    </row>
    <row r="1359" spans="2:10" s="15" customFormat="1" x14ac:dyDescent="0.25">
      <c r="B1359" s="26"/>
      <c r="D1359" s="8"/>
      <c r="E1359" s="8"/>
      <c r="F1359" s="198"/>
      <c r="G1359" s="198"/>
      <c r="H1359" s="198"/>
      <c r="I1359" s="198"/>
      <c r="J1359" s="198"/>
    </row>
    <row r="1360" spans="2:10" s="15" customFormat="1" x14ac:dyDescent="0.25">
      <c r="B1360" s="26"/>
      <c r="D1360" s="8"/>
      <c r="E1360" s="8"/>
      <c r="F1360" s="198"/>
      <c r="G1360" s="198"/>
      <c r="H1360" s="198"/>
      <c r="I1360" s="198"/>
      <c r="J1360" s="198"/>
    </row>
    <row r="1361" spans="2:10" s="15" customFormat="1" x14ac:dyDescent="0.25">
      <c r="B1361" s="26"/>
      <c r="D1361" s="8"/>
      <c r="E1361" s="8"/>
      <c r="F1361" s="198"/>
      <c r="G1361" s="198"/>
      <c r="H1361" s="198"/>
      <c r="I1361" s="198"/>
      <c r="J1361" s="198"/>
    </row>
    <row r="1362" spans="2:10" s="15" customFormat="1" x14ac:dyDescent="0.25">
      <c r="B1362" s="26"/>
      <c r="D1362" s="8"/>
      <c r="E1362" s="8"/>
      <c r="F1362" s="198"/>
      <c r="G1362" s="198"/>
      <c r="H1362" s="198"/>
      <c r="I1362" s="198"/>
      <c r="J1362" s="198"/>
    </row>
    <row r="1363" spans="2:10" s="15" customFormat="1" x14ac:dyDescent="0.25">
      <c r="B1363" s="26"/>
      <c r="D1363" s="8"/>
      <c r="E1363" s="8"/>
      <c r="F1363" s="198"/>
      <c r="G1363" s="198"/>
      <c r="H1363" s="198"/>
      <c r="I1363" s="198"/>
      <c r="J1363" s="198"/>
    </row>
    <row r="1364" spans="2:10" s="15" customFormat="1" x14ac:dyDescent="0.25">
      <c r="B1364" s="26"/>
      <c r="D1364" s="8"/>
      <c r="E1364" s="8"/>
      <c r="F1364" s="198"/>
      <c r="G1364" s="198"/>
      <c r="H1364" s="198"/>
      <c r="I1364" s="198"/>
      <c r="J1364" s="198"/>
    </row>
    <row r="1365" spans="2:10" s="15" customFormat="1" x14ac:dyDescent="0.25">
      <c r="B1365" s="26"/>
      <c r="D1365" s="8"/>
      <c r="E1365" s="8"/>
      <c r="F1365" s="198"/>
      <c r="G1365" s="198"/>
      <c r="H1365" s="198"/>
      <c r="I1365" s="198"/>
      <c r="J1365" s="198"/>
    </row>
    <row r="1366" spans="2:10" s="15" customFormat="1" x14ac:dyDescent="0.25">
      <c r="B1366" s="26"/>
      <c r="D1366" s="8"/>
      <c r="E1366" s="8"/>
      <c r="F1366" s="198"/>
      <c r="G1366" s="198"/>
      <c r="H1366" s="198"/>
      <c r="I1366" s="198"/>
      <c r="J1366" s="198"/>
    </row>
    <row r="1367" spans="2:10" s="15" customFormat="1" x14ac:dyDescent="0.25">
      <c r="B1367" s="26"/>
      <c r="D1367" s="8"/>
      <c r="E1367" s="8"/>
      <c r="F1367" s="198"/>
      <c r="G1367" s="198"/>
      <c r="H1367" s="198"/>
      <c r="I1367" s="198"/>
      <c r="J1367" s="198"/>
    </row>
    <row r="1368" spans="2:10" s="15" customFormat="1" x14ac:dyDescent="0.25">
      <c r="B1368" s="26"/>
      <c r="D1368" s="8"/>
      <c r="E1368" s="8"/>
      <c r="F1368" s="198"/>
      <c r="G1368" s="198"/>
      <c r="H1368" s="198"/>
      <c r="I1368" s="198"/>
      <c r="J1368" s="198"/>
    </row>
    <row r="1369" spans="2:10" s="15" customFormat="1" x14ac:dyDescent="0.25">
      <c r="B1369" s="26"/>
      <c r="D1369" s="8"/>
      <c r="E1369" s="8"/>
      <c r="F1369" s="198"/>
      <c r="G1369" s="198"/>
      <c r="H1369" s="198"/>
      <c r="I1369" s="198"/>
      <c r="J1369" s="198"/>
    </row>
    <row r="1370" spans="2:10" s="15" customFormat="1" x14ac:dyDescent="0.25">
      <c r="B1370" s="26"/>
      <c r="D1370" s="8"/>
      <c r="E1370" s="8"/>
      <c r="F1370" s="198"/>
      <c r="G1370" s="198"/>
      <c r="H1370" s="198"/>
      <c r="I1370" s="198"/>
      <c r="J1370" s="198"/>
    </row>
    <row r="1371" spans="2:10" s="15" customFormat="1" x14ac:dyDescent="0.25">
      <c r="B1371" s="26"/>
      <c r="D1371" s="8"/>
      <c r="E1371" s="8"/>
      <c r="F1371" s="198"/>
      <c r="G1371" s="198"/>
      <c r="H1371" s="198"/>
      <c r="I1371" s="198"/>
      <c r="J1371" s="198"/>
    </row>
    <row r="1372" spans="2:10" s="15" customFormat="1" x14ac:dyDescent="0.25">
      <c r="B1372" s="26"/>
      <c r="D1372" s="8"/>
      <c r="E1372" s="8"/>
      <c r="F1372" s="198"/>
      <c r="G1372" s="198"/>
      <c r="H1372" s="198"/>
      <c r="I1372" s="198"/>
      <c r="J1372" s="198"/>
    </row>
    <row r="1373" spans="2:10" s="15" customFormat="1" x14ac:dyDescent="0.25">
      <c r="B1373" s="26"/>
      <c r="D1373" s="8"/>
      <c r="E1373" s="8"/>
      <c r="F1373" s="198"/>
      <c r="G1373" s="198"/>
      <c r="H1373" s="198"/>
      <c r="I1373" s="198"/>
      <c r="J1373" s="198"/>
    </row>
    <row r="1374" spans="2:10" s="15" customFormat="1" x14ac:dyDescent="0.25">
      <c r="B1374" s="26"/>
      <c r="D1374" s="8"/>
      <c r="E1374" s="8"/>
      <c r="F1374" s="198"/>
      <c r="G1374" s="198"/>
      <c r="H1374" s="198"/>
      <c r="I1374" s="198"/>
      <c r="J1374" s="198"/>
    </row>
    <row r="1375" spans="2:10" s="15" customFormat="1" x14ac:dyDescent="0.25">
      <c r="B1375" s="26"/>
      <c r="D1375" s="8"/>
      <c r="E1375" s="8"/>
      <c r="F1375" s="198"/>
      <c r="G1375" s="198"/>
      <c r="H1375" s="198"/>
      <c r="I1375" s="198"/>
      <c r="J1375" s="198"/>
    </row>
    <row r="1376" spans="2:10" s="15" customFormat="1" x14ac:dyDescent="0.25">
      <c r="B1376" s="26"/>
      <c r="D1376" s="8"/>
      <c r="E1376" s="8"/>
      <c r="F1376" s="198"/>
      <c r="G1376" s="198"/>
      <c r="H1376" s="198"/>
      <c r="I1376" s="198"/>
      <c r="J1376" s="198"/>
    </row>
    <row r="1377" spans="2:10" s="15" customFormat="1" x14ac:dyDescent="0.25">
      <c r="B1377" s="26"/>
      <c r="D1377" s="8"/>
      <c r="E1377" s="8"/>
      <c r="F1377" s="198"/>
      <c r="G1377" s="198"/>
      <c r="H1377" s="198"/>
      <c r="I1377" s="198"/>
      <c r="J1377" s="198"/>
    </row>
    <row r="1378" spans="2:10" s="15" customFormat="1" x14ac:dyDescent="0.25">
      <c r="B1378" s="26"/>
      <c r="D1378" s="8"/>
      <c r="E1378" s="8"/>
      <c r="F1378" s="198"/>
      <c r="G1378" s="198"/>
      <c r="H1378" s="198"/>
      <c r="I1378" s="198"/>
      <c r="J1378" s="198"/>
    </row>
    <row r="1379" spans="2:10" s="15" customFormat="1" x14ac:dyDescent="0.25">
      <c r="B1379" s="26"/>
      <c r="D1379" s="8"/>
      <c r="E1379" s="8"/>
      <c r="F1379" s="198"/>
      <c r="G1379" s="198"/>
      <c r="H1379" s="198"/>
      <c r="I1379" s="198"/>
      <c r="J1379" s="198"/>
    </row>
    <row r="1380" spans="2:10" s="15" customFormat="1" x14ac:dyDescent="0.25">
      <c r="B1380" s="26"/>
      <c r="D1380" s="8"/>
      <c r="E1380" s="8"/>
      <c r="F1380" s="198"/>
      <c r="G1380" s="198"/>
      <c r="H1380" s="198"/>
      <c r="I1380" s="198"/>
      <c r="J1380" s="198"/>
    </row>
    <row r="1381" spans="2:10" s="15" customFormat="1" x14ac:dyDescent="0.25">
      <c r="B1381" s="26"/>
      <c r="D1381" s="8"/>
      <c r="E1381" s="8"/>
      <c r="F1381" s="198"/>
      <c r="G1381" s="198"/>
      <c r="H1381" s="198"/>
      <c r="I1381" s="198"/>
      <c r="J1381" s="198"/>
    </row>
    <row r="1382" spans="2:10" s="15" customFormat="1" x14ac:dyDescent="0.25">
      <c r="B1382" s="26"/>
      <c r="D1382" s="8"/>
      <c r="E1382" s="8"/>
      <c r="F1382" s="198"/>
      <c r="G1382" s="198"/>
      <c r="H1382" s="198"/>
      <c r="I1382" s="198"/>
      <c r="J1382" s="198"/>
    </row>
    <row r="1383" spans="2:10" s="15" customFormat="1" x14ac:dyDescent="0.25">
      <c r="B1383" s="26"/>
      <c r="D1383" s="8"/>
      <c r="E1383" s="8"/>
      <c r="F1383" s="198"/>
      <c r="G1383" s="198"/>
      <c r="H1383" s="198"/>
      <c r="I1383" s="198"/>
      <c r="J1383" s="198"/>
    </row>
    <row r="1384" spans="2:10" s="15" customFormat="1" x14ac:dyDescent="0.25">
      <c r="B1384" s="26"/>
      <c r="D1384" s="8"/>
      <c r="E1384" s="8"/>
      <c r="F1384" s="198"/>
      <c r="G1384" s="198"/>
      <c r="H1384" s="198"/>
      <c r="I1384" s="198"/>
      <c r="J1384" s="198"/>
    </row>
    <row r="1385" spans="2:10" s="15" customFormat="1" x14ac:dyDescent="0.25">
      <c r="B1385" s="26"/>
      <c r="D1385" s="8"/>
      <c r="E1385" s="8"/>
      <c r="F1385" s="198"/>
      <c r="G1385" s="198"/>
      <c r="H1385" s="198"/>
      <c r="I1385" s="198"/>
      <c r="J1385" s="198"/>
    </row>
    <row r="1386" spans="2:10" s="15" customFormat="1" x14ac:dyDescent="0.25">
      <c r="B1386" s="26"/>
      <c r="D1386" s="8"/>
      <c r="E1386" s="8"/>
      <c r="F1386" s="198"/>
      <c r="G1386" s="198"/>
      <c r="H1386" s="198"/>
      <c r="I1386" s="198"/>
      <c r="J1386" s="198"/>
    </row>
    <row r="1387" spans="2:10" s="15" customFormat="1" x14ac:dyDescent="0.25">
      <c r="B1387" s="26"/>
      <c r="D1387" s="8"/>
      <c r="E1387" s="8"/>
      <c r="F1387" s="198"/>
      <c r="G1387" s="198"/>
      <c r="H1387" s="198"/>
      <c r="I1387" s="198"/>
      <c r="J1387" s="198"/>
    </row>
    <row r="1388" spans="2:10" s="15" customFormat="1" x14ac:dyDescent="0.25">
      <c r="B1388" s="26"/>
      <c r="D1388" s="8"/>
      <c r="E1388" s="8"/>
      <c r="F1388" s="198"/>
      <c r="G1388" s="198"/>
      <c r="H1388" s="198"/>
      <c r="I1388" s="198"/>
      <c r="J1388" s="198"/>
    </row>
    <row r="1389" spans="2:10" s="15" customFormat="1" x14ac:dyDescent="0.25">
      <c r="B1389" s="26"/>
      <c r="D1389" s="8"/>
      <c r="E1389" s="8"/>
      <c r="F1389" s="198"/>
      <c r="G1389" s="198"/>
      <c r="H1389" s="198"/>
      <c r="I1389" s="198"/>
      <c r="J1389" s="198"/>
    </row>
    <row r="1390" spans="2:10" s="15" customFormat="1" x14ac:dyDescent="0.25">
      <c r="B1390" s="26"/>
      <c r="D1390" s="8"/>
      <c r="E1390" s="8"/>
      <c r="F1390" s="198"/>
      <c r="G1390" s="198"/>
      <c r="H1390" s="198"/>
      <c r="I1390" s="198"/>
      <c r="J1390" s="198"/>
    </row>
    <row r="1391" spans="2:10" s="15" customFormat="1" x14ac:dyDescent="0.25">
      <c r="B1391" s="26"/>
      <c r="D1391" s="8"/>
      <c r="E1391" s="8"/>
      <c r="F1391" s="198"/>
      <c r="G1391" s="198"/>
      <c r="H1391" s="198"/>
      <c r="I1391" s="198"/>
      <c r="J1391" s="198"/>
    </row>
    <row r="1392" spans="2:10" s="15" customFormat="1" x14ac:dyDescent="0.25">
      <c r="B1392" s="26"/>
      <c r="D1392" s="8"/>
      <c r="E1392" s="8"/>
      <c r="F1392" s="198"/>
      <c r="G1392" s="198"/>
      <c r="H1392" s="198"/>
      <c r="I1392" s="198"/>
      <c r="J1392" s="198"/>
    </row>
    <row r="1393" spans="2:10" s="15" customFormat="1" x14ac:dyDescent="0.25">
      <c r="B1393" s="26"/>
      <c r="D1393" s="8"/>
      <c r="E1393" s="8"/>
      <c r="F1393" s="198"/>
      <c r="G1393" s="198"/>
      <c r="H1393" s="198"/>
      <c r="I1393" s="198"/>
      <c r="J1393" s="198"/>
    </row>
    <row r="1394" spans="2:10" s="15" customFormat="1" x14ac:dyDescent="0.25">
      <c r="B1394" s="26"/>
      <c r="D1394" s="8"/>
      <c r="E1394" s="8"/>
      <c r="F1394" s="198"/>
      <c r="G1394" s="198"/>
      <c r="H1394" s="198"/>
      <c r="I1394" s="198"/>
      <c r="J1394" s="198"/>
    </row>
    <row r="1395" spans="2:10" s="15" customFormat="1" x14ac:dyDescent="0.25">
      <c r="B1395" s="26"/>
      <c r="D1395" s="8"/>
      <c r="E1395" s="8"/>
      <c r="F1395" s="198"/>
      <c r="G1395" s="198"/>
      <c r="H1395" s="198"/>
      <c r="I1395" s="198"/>
      <c r="J1395" s="198"/>
    </row>
    <row r="1396" spans="2:10" s="15" customFormat="1" x14ac:dyDescent="0.25">
      <c r="B1396" s="26"/>
      <c r="D1396" s="8"/>
      <c r="E1396" s="8"/>
      <c r="F1396" s="198"/>
      <c r="G1396" s="198"/>
      <c r="H1396" s="198"/>
      <c r="I1396" s="198"/>
      <c r="J1396" s="198"/>
    </row>
    <row r="1397" spans="2:10" s="15" customFormat="1" x14ac:dyDescent="0.25">
      <c r="B1397" s="26"/>
      <c r="D1397" s="8"/>
      <c r="E1397" s="8"/>
      <c r="F1397" s="198"/>
      <c r="G1397" s="198"/>
      <c r="H1397" s="198"/>
      <c r="I1397" s="198"/>
      <c r="J1397" s="198"/>
    </row>
    <row r="1398" spans="2:10" s="15" customFormat="1" x14ac:dyDescent="0.25">
      <c r="B1398" s="26"/>
      <c r="D1398" s="8"/>
      <c r="E1398" s="8"/>
      <c r="F1398" s="198"/>
      <c r="G1398" s="198"/>
      <c r="H1398" s="198"/>
      <c r="I1398" s="198"/>
      <c r="J1398" s="198"/>
    </row>
    <row r="1399" spans="2:10" s="15" customFormat="1" x14ac:dyDescent="0.25">
      <c r="B1399" s="26"/>
      <c r="D1399" s="8"/>
      <c r="E1399" s="8"/>
      <c r="F1399" s="198"/>
      <c r="G1399" s="198"/>
      <c r="H1399" s="198"/>
      <c r="I1399" s="198"/>
      <c r="J1399" s="198"/>
    </row>
    <row r="1400" spans="2:10" s="15" customFormat="1" x14ac:dyDescent="0.25">
      <c r="B1400" s="26"/>
      <c r="D1400" s="8"/>
      <c r="E1400" s="8"/>
      <c r="F1400" s="198"/>
      <c r="G1400" s="198"/>
      <c r="H1400" s="198"/>
      <c r="I1400" s="198"/>
      <c r="J1400" s="198"/>
    </row>
    <row r="1401" spans="2:10" s="15" customFormat="1" x14ac:dyDescent="0.25">
      <c r="B1401" s="26"/>
      <c r="D1401" s="8"/>
      <c r="E1401" s="8"/>
      <c r="F1401" s="198"/>
      <c r="G1401" s="198"/>
      <c r="H1401" s="198"/>
      <c r="I1401" s="198"/>
      <c r="J1401" s="198"/>
    </row>
    <row r="1402" spans="2:10" s="15" customFormat="1" x14ac:dyDescent="0.25">
      <c r="B1402" s="26"/>
      <c r="D1402" s="8"/>
      <c r="E1402" s="8"/>
      <c r="F1402" s="198"/>
      <c r="G1402" s="198"/>
      <c r="H1402" s="198"/>
      <c r="I1402" s="198"/>
      <c r="J1402" s="198"/>
    </row>
    <row r="1403" spans="2:10" s="15" customFormat="1" x14ac:dyDescent="0.25">
      <c r="B1403" s="26"/>
      <c r="D1403" s="8"/>
      <c r="E1403" s="8"/>
      <c r="F1403" s="198"/>
      <c r="G1403" s="198"/>
      <c r="H1403" s="198"/>
      <c r="I1403" s="198"/>
      <c r="J1403" s="198"/>
    </row>
    <row r="1404" spans="2:10" s="15" customFormat="1" x14ac:dyDescent="0.25">
      <c r="B1404" s="26"/>
      <c r="D1404" s="8"/>
      <c r="E1404" s="8"/>
      <c r="F1404" s="198"/>
      <c r="G1404" s="198"/>
      <c r="H1404" s="198"/>
      <c r="I1404" s="198"/>
      <c r="J1404" s="198"/>
    </row>
    <row r="1405" spans="2:10" s="15" customFormat="1" x14ac:dyDescent="0.25">
      <c r="B1405" s="26"/>
      <c r="D1405" s="8"/>
      <c r="E1405" s="8"/>
      <c r="F1405" s="198"/>
      <c r="G1405" s="198"/>
      <c r="H1405" s="198"/>
      <c r="I1405" s="198"/>
      <c r="J1405" s="198"/>
    </row>
    <row r="1406" spans="2:10" s="15" customFormat="1" x14ac:dyDescent="0.25">
      <c r="B1406" s="26"/>
      <c r="D1406" s="8"/>
      <c r="E1406" s="8"/>
      <c r="F1406" s="198"/>
      <c r="G1406" s="198"/>
      <c r="H1406" s="198"/>
      <c r="I1406" s="198"/>
      <c r="J1406" s="198"/>
    </row>
    <row r="1407" spans="2:10" s="15" customFormat="1" x14ac:dyDescent="0.25">
      <c r="B1407" s="26"/>
      <c r="D1407" s="8"/>
      <c r="E1407" s="8"/>
      <c r="F1407" s="198"/>
      <c r="G1407" s="198"/>
      <c r="H1407" s="198"/>
      <c r="I1407" s="198"/>
      <c r="J1407" s="198"/>
    </row>
    <row r="1408" spans="2:10" s="15" customFormat="1" x14ac:dyDescent="0.25">
      <c r="B1408" s="26"/>
      <c r="D1408" s="8"/>
      <c r="E1408" s="8"/>
      <c r="F1408" s="198"/>
      <c r="G1408" s="198"/>
      <c r="H1408" s="198"/>
      <c r="I1408" s="198"/>
      <c r="J1408" s="198"/>
    </row>
    <row r="1409" spans="2:10" s="15" customFormat="1" x14ac:dyDescent="0.25">
      <c r="B1409" s="26"/>
      <c r="D1409" s="8"/>
      <c r="E1409" s="8"/>
      <c r="F1409" s="198"/>
      <c r="G1409" s="198"/>
      <c r="H1409" s="198"/>
      <c r="I1409" s="198"/>
      <c r="J1409" s="198"/>
    </row>
    <row r="1410" spans="2:10" s="15" customFormat="1" x14ac:dyDescent="0.25">
      <c r="B1410" s="26"/>
      <c r="D1410" s="8"/>
      <c r="E1410" s="8"/>
      <c r="F1410" s="198"/>
      <c r="G1410" s="198"/>
      <c r="H1410" s="198"/>
      <c r="I1410" s="198"/>
      <c r="J1410" s="198"/>
    </row>
    <row r="1411" spans="2:10" s="15" customFormat="1" x14ac:dyDescent="0.25">
      <c r="B1411" s="26"/>
      <c r="D1411" s="8"/>
      <c r="E1411" s="8"/>
      <c r="F1411" s="198"/>
      <c r="G1411" s="198"/>
      <c r="H1411" s="198"/>
      <c r="I1411" s="198"/>
      <c r="J1411" s="198"/>
    </row>
    <row r="1412" spans="2:10" s="15" customFormat="1" x14ac:dyDescent="0.25">
      <c r="B1412" s="26"/>
      <c r="D1412" s="8"/>
      <c r="E1412" s="8"/>
      <c r="F1412" s="198"/>
      <c r="G1412" s="198"/>
      <c r="H1412" s="198"/>
      <c r="I1412" s="198"/>
      <c r="J1412" s="198"/>
    </row>
    <row r="1413" spans="2:10" s="15" customFormat="1" x14ac:dyDescent="0.25">
      <c r="B1413" s="26"/>
      <c r="D1413" s="8"/>
      <c r="E1413" s="8"/>
      <c r="F1413" s="198"/>
      <c r="G1413" s="198"/>
      <c r="H1413" s="198"/>
      <c r="I1413" s="198"/>
      <c r="J1413" s="198"/>
    </row>
    <row r="1414" spans="2:10" s="15" customFormat="1" x14ac:dyDescent="0.25">
      <c r="B1414" s="26"/>
      <c r="D1414" s="8"/>
      <c r="E1414" s="8"/>
      <c r="F1414" s="198"/>
      <c r="G1414" s="198"/>
      <c r="H1414" s="198"/>
      <c r="I1414" s="198"/>
      <c r="J1414" s="198"/>
    </row>
    <row r="1415" spans="2:10" s="15" customFormat="1" x14ac:dyDescent="0.25">
      <c r="B1415" s="26"/>
      <c r="D1415" s="8"/>
      <c r="E1415" s="8"/>
      <c r="F1415" s="198"/>
      <c r="G1415" s="198"/>
      <c r="H1415" s="198"/>
      <c r="I1415" s="198"/>
      <c r="J1415" s="198"/>
    </row>
    <row r="1416" spans="2:10" s="15" customFormat="1" x14ac:dyDescent="0.25">
      <c r="B1416" s="26"/>
      <c r="D1416" s="8"/>
      <c r="E1416" s="8"/>
      <c r="F1416" s="198"/>
      <c r="G1416" s="198"/>
      <c r="H1416" s="198"/>
      <c r="I1416" s="198"/>
      <c r="J1416" s="198"/>
    </row>
    <row r="1417" spans="2:10" s="15" customFormat="1" x14ac:dyDescent="0.25">
      <c r="B1417" s="26"/>
      <c r="D1417" s="8"/>
      <c r="E1417" s="8"/>
      <c r="F1417" s="198"/>
      <c r="G1417" s="198"/>
      <c r="H1417" s="198"/>
      <c r="I1417" s="198"/>
      <c r="J1417" s="198"/>
    </row>
    <row r="1418" spans="2:10" s="15" customFormat="1" x14ac:dyDescent="0.25">
      <c r="B1418" s="26"/>
      <c r="D1418" s="8"/>
      <c r="E1418" s="8"/>
      <c r="F1418" s="198"/>
      <c r="G1418" s="198"/>
      <c r="H1418" s="198"/>
      <c r="I1418" s="198"/>
      <c r="J1418" s="198"/>
    </row>
    <row r="1419" spans="2:10" s="15" customFormat="1" x14ac:dyDescent="0.25">
      <c r="B1419" s="26"/>
      <c r="D1419" s="8"/>
      <c r="E1419" s="8"/>
      <c r="F1419" s="198"/>
      <c r="G1419" s="198"/>
      <c r="H1419" s="198"/>
      <c r="I1419" s="198"/>
      <c r="J1419" s="198"/>
    </row>
    <row r="1420" spans="2:10" s="15" customFormat="1" x14ac:dyDescent="0.25">
      <c r="B1420" s="26"/>
      <c r="D1420" s="8"/>
      <c r="E1420" s="8"/>
      <c r="F1420" s="198"/>
      <c r="G1420" s="198"/>
      <c r="H1420" s="198"/>
      <c r="I1420" s="198"/>
      <c r="J1420" s="198"/>
    </row>
    <row r="1421" spans="2:10" s="15" customFormat="1" x14ac:dyDescent="0.25">
      <c r="B1421" s="26"/>
      <c r="D1421" s="8"/>
      <c r="E1421" s="8"/>
      <c r="F1421" s="198"/>
      <c r="G1421" s="198"/>
      <c r="H1421" s="198"/>
      <c r="I1421" s="198"/>
      <c r="J1421" s="198"/>
    </row>
    <row r="1422" spans="2:10" s="15" customFormat="1" x14ac:dyDescent="0.25">
      <c r="B1422" s="26"/>
      <c r="D1422" s="8"/>
      <c r="E1422" s="8"/>
      <c r="F1422" s="198"/>
      <c r="G1422" s="198"/>
      <c r="H1422" s="198"/>
      <c r="I1422" s="198"/>
      <c r="J1422" s="198"/>
    </row>
    <row r="1423" spans="2:10" s="15" customFormat="1" x14ac:dyDescent="0.25">
      <c r="B1423" s="26"/>
      <c r="D1423" s="8"/>
      <c r="E1423" s="8"/>
      <c r="F1423" s="198"/>
      <c r="G1423" s="198"/>
      <c r="H1423" s="198"/>
      <c r="I1423" s="198"/>
      <c r="J1423" s="198"/>
    </row>
    <row r="1424" spans="2:10" s="15" customFormat="1" x14ac:dyDescent="0.25">
      <c r="B1424" s="26"/>
      <c r="D1424" s="8"/>
      <c r="E1424" s="8"/>
      <c r="F1424" s="198"/>
      <c r="G1424" s="198"/>
      <c r="H1424" s="198"/>
      <c r="I1424" s="198"/>
      <c r="J1424" s="198"/>
    </row>
    <row r="1425" spans="2:10" s="15" customFormat="1" x14ac:dyDescent="0.25">
      <c r="B1425" s="26"/>
      <c r="D1425" s="8"/>
      <c r="E1425" s="8"/>
      <c r="F1425" s="198"/>
      <c r="G1425" s="198"/>
      <c r="H1425" s="198"/>
      <c r="I1425" s="198"/>
      <c r="J1425" s="198"/>
    </row>
    <row r="1426" spans="2:10" s="15" customFormat="1" x14ac:dyDescent="0.25">
      <c r="B1426" s="26"/>
      <c r="D1426" s="8"/>
      <c r="E1426" s="8"/>
      <c r="F1426" s="198"/>
      <c r="G1426" s="198"/>
      <c r="H1426" s="198"/>
      <c r="I1426" s="198"/>
      <c r="J1426" s="198"/>
    </row>
    <row r="1427" spans="2:10" s="15" customFormat="1" x14ac:dyDescent="0.25">
      <c r="B1427" s="26"/>
      <c r="D1427" s="8"/>
      <c r="E1427" s="8"/>
      <c r="F1427" s="198"/>
      <c r="G1427" s="198"/>
      <c r="H1427" s="198"/>
      <c r="I1427" s="198"/>
      <c r="J1427" s="198"/>
    </row>
    <row r="1428" spans="2:10" s="15" customFormat="1" x14ac:dyDescent="0.25">
      <c r="B1428" s="26"/>
      <c r="D1428" s="8"/>
      <c r="E1428" s="8"/>
      <c r="F1428" s="198"/>
      <c r="G1428" s="198"/>
      <c r="H1428" s="198"/>
      <c r="I1428" s="198"/>
      <c r="J1428" s="198"/>
    </row>
    <row r="1429" spans="2:10" s="15" customFormat="1" x14ac:dyDescent="0.25">
      <c r="B1429" s="26"/>
      <c r="D1429" s="8"/>
      <c r="E1429" s="8"/>
      <c r="F1429" s="198"/>
      <c r="G1429" s="198"/>
      <c r="H1429" s="198"/>
      <c r="I1429" s="198"/>
      <c r="J1429" s="198"/>
    </row>
    <row r="1430" spans="2:10" s="15" customFormat="1" x14ac:dyDescent="0.25">
      <c r="B1430" s="26"/>
      <c r="D1430" s="8"/>
      <c r="E1430" s="8"/>
      <c r="F1430" s="198"/>
      <c r="G1430" s="198"/>
      <c r="H1430" s="198"/>
      <c r="I1430" s="198"/>
      <c r="J1430" s="198"/>
    </row>
    <row r="1431" spans="2:10" s="15" customFormat="1" x14ac:dyDescent="0.25">
      <c r="B1431" s="26"/>
      <c r="D1431" s="8"/>
      <c r="E1431" s="8"/>
      <c r="F1431" s="198"/>
      <c r="G1431" s="198"/>
      <c r="H1431" s="198"/>
      <c r="I1431" s="198"/>
      <c r="J1431" s="198"/>
    </row>
    <row r="1432" spans="2:10" s="15" customFormat="1" x14ac:dyDescent="0.25">
      <c r="B1432" s="26"/>
      <c r="D1432" s="8"/>
      <c r="E1432" s="8"/>
      <c r="F1432" s="198"/>
      <c r="G1432" s="198"/>
      <c r="H1432" s="198"/>
      <c r="I1432" s="198"/>
      <c r="J1432" s="198"/>
    </row>
    <row r="1433" spans="2:10" s="15" customFormat="1" x14ac:dyDescent="0.25">
      <c r="B1433" s="26"/>
      <c r="D1433" s="8"/>
      <c r="E1433" s="8"/>
      <c r="F1433" s="198"/>
      <c r="G1433" s="198"/>
      <c r="H1433" s="198"/>
      <c r="I1433" s="198"/>
      <c r="J1433" s="198"/>
    </row>
    <row r="1434" spans="2:10" s="15" customFormat="1" x14ac:dyDescent="0.25">
      <c r="B1434" s="26"/>
      <c r="D1434" s="8"/>
      <c r="E1434" s="8"/>
      <c r="F1434" s="198"/>
      <c r="G1434" s="198"/>
      <c r="H1434" s="198"/>
      <c r="I1434" s="198"/>
      <c r="J1434" s="198"/>
    </row>
    <row r="1435" spans="2:10" s="15" customFormat="1" x14ac:dyDescent="0.25">
      <c r="B1435" s="26"/>
      <c r="D1435" s="8"/>
      <c r="E1435" s="8"/>
      <c r="F1435" s="198"/>
      <c r="G1435" s="198"/>
      <c r="H1435" s="198"/>
      <c r="I1435" s="198"/>
      <c r="J1435" s="198"/>
    </row>
    <row r="1436" spans="2:10" s="15" customFormat="1" x14ac:dyDescent="0.25">
      <c r="B1436" s="26"/>
      <c r="D1436" s="8"/>
      <c r="E1436" s="8"/>
      <c r="F1436" s="198"/>
      <c r="G1436" s="198"/>
      <c r="H1436" s="198"/>
      <c r="I1436" s="198"/>
      <c r="J1436" s="198"/>
    </row>
    <row r="1437" spans="2:10" s="15" customFormat="1" x14ac:dyDescent="0.25">
      <c r="B1437" s="26"/>
      <c r="D1437" s="8"/>
      <c r="E1437" s="8"/>
      <c r="F1437" s="198"/>
      <c r="G1437" s="198"/>
      <c r="H1437" s="198"/>
      <c r="I1437" s="198"/>
      <c r="J1437" s="198"/>
    </row>
    <row r="1438" spans="2:10" s="15" customFormat="1" x14ac:dyDescent="0.25">
      <c r="B1438" s="26"/>
      <c r="D1438" s="8"/>
      <c r="E1438" s="8"/>
      <c r="F1438" s="198"/>
      <c r="G1438" s="198"/>
      <c r="H1438" s="198"/>
      <c r="I1438" s="198"/>
      <c r="J1438" s="198"/>
    </row>
    <row r="1439" spans="2:10" s="15" customFormat="1" x14ac:dyDescent="0.25">
      <c r="B1439" s="26"/>
      <c r="D1439" s="8"/>
      <c r="E1439" s="8"/>
      <c r="F1439" s="198"/>
      <c r="G1439" s="198"/>
      <c r="H1439" s="198"/>
      <c r="I1439" s="198"/>
      <c r="J1439" s="198"/>
    </row>
    <row r="1440" spans="2:10" s="15" customFormat="1" x14ac:dyDescent="0.25">
      <c r="B1440" s="26"/>
      <c r="D1440" s="8"/>
      <c r="E1440" s="8"/>
      <c r="F1440" s="198"/>
      <c r="G1440" s="198"/>
      <c r="H1440" s="198"/>
      <c r="I1440" s="198"/>
      <c r="J1440" s="198"/>
    </row>
    <row r="1441" spans="2:10" s="15" customFormat="1" x14ac:dyDescent="0.25">
      <c r="B1441" s="26"/>
      <c r="D1441" s="8"/>
      <c r="E1441" s="8"/>
      <c r="F1441" s="198"/>
      <c r="G1441" s="198"/>
      <c r="H1441" s="198"/>
      <c r="I1441" s="198"/>
      <c r="J1441" s="198"/>
    </row>
    <row r="1442" spans="2:10" s="15" customFormat="1" x14ac:dyDescent="0.25">
      <c r="B1442" s="26"/>
      <c r="D1442" s="8"/>
      <c r="E1442" s="8"/>
      <c r="F1442" s="198"/>
      <c r="G1442" s="198"/>
      <c r="H1442" s="198"/>
      <c r="I1442" s="198"/>
      <c r="J1442" s="198"/>
    </row>
    <row r="1443" spans="2:10" s="15" customFormat="1" x14ac:dyDescent="0.25">
      <c r="B1443" s="26"/>
      <c r="D1443" s="8"/>
      <c r="E1443" s="8"/>
      <c r="F1443" s="198"/>
      <c r="G1443" s="198"/>
      <c r="H1443" s="198"/>
      <c r="I1443" s="198"/>
      <c r="J1443" s="198"/>
    </row>
    <row r="1444" spans="2:10" s="15" customFormat="1" x14ac:dyDescent="0.25">
      <c r="B1444" s="26"/>
      <c r="D1444" s="8"/>
      <c r="E1444" s="8"/>
      <c r="F1444" s="198"/>
      <c r="G1444" s="198"/>
      <c r="H1444" s="198"/>
      <c r="I1444" s="198"/>
      <c r="J1444" s="198"/>
    </row>
    <row r="1445" spans="2:10" s="15" customFormat="1" x14ac:dyDescent="0.25">
      <c r="B1445" s="26"/>
      <c r="D1445" s="8"/>
      <c r="E1445" s="8"/>
      <c r="F1445" s="198"/>
      <c r="G1445" s="198"/>
      <c r="H1445" s="198"/>
      <c r="I1445" s="198"/>
      <c r="J1445" s="198"/>
    </row>
    <row r="1446" spans="2:10" s="15" customFormat="1" x14ac:dyDescent="0.25">
      <c r="B1446" s="26"/>
      <c r="D1446" s="8"/>
      <c r="E1446" s="8"/>
      <c r="F1446" s="198"/>
      <c r="G1446" s="198"/>
      <c r="H1446" s="198"/>
      <c r="I1446" s="198"/>
      <c r="J1446" s="198"/>
    </row>
    <row r="1447" spans="2:10" s="15" customFormat="1" x14ac:dyDescent="0.25">
      <c r="B1447" s="26"/>
      <c r="D1447" s="8"/>
      <c r="E1447" s="8"/>
      <c r="F1447" s="198"/>
      <c r="G1447" s="198"/>
      <c r="H1447" s="198"/>
      <c r="I1447" s="198"/>
      <c r="J1447" s="198"/>
    </row>
    <row r="1448" spans="2:10" s="15" customFormat="1" x14ac:dyDescent="0.25">
      <c r="B1448" s="26"/>
      <c r="D1448" s="8"/>
      <c r="E1448" s="8"/>
      <c r="F1448" s="198"/>
      <c r="G1448" s="198"/>
      <c r="H1448" s="198"/>
      <c r="I1448" s="198"/>
      <c r="J1448" s="198"/>
    </row>
    <row r="1449" spans="2:10" s="15" customFormat="1" x14ac:dyDescent="0.25">
      <c r="B1449" s="26"/>
      <c r="D1449" s="8"/>
      <c r="E1449" s="8"/>
      <c r="F1449" s="198"/>
      <c r="G1449" s="198"/>
      <c r="H1449" s="198"/>
      <c r="I1449" s="198"/>
      <c r="J1449" s="198"/>
    </row>
    <row r="1450" spans="2:10" s="15" customFormat="1" x14ac:dyDescent="0.25">
      <c r="B1450" s="26"/>
      <c r="D1450" s="8"/>
      <c r="E1450" s="8"/>
      <c r="F1450" s="198"/>
      <c r="G1450" s="198"/>
      <c r="H1450" s="198"/>
      <c r="I1450" s="198"/>
      <c r="J1450" s="198"/>
    </row>
    <row r="1451" spans="2:10" s="15" customFormat="1" x14ac:dyDescent="0.25">
      <c r="B1451" s="26"/>
      <c r="D1451" s="8"/>
      <c r="E1451" s="8"/>
      <c r="F1451" s="198"/>
      <c r="G1451" s="198"/>
      <c r="H1451" s="198"/>
      <c r="I1451" s="198"/>
      <c r="J1451" s="198"/>
    </row>
    <row r="1452" spans="2:10" s="15" customFormat="1" x14ac:dyDescent="0.25">
      <c r="B1452" s="26"/>
      <c r="D1452" s="8"/>
      <c r="E1452" s="8"/>
      <c r="F1452" s="198"/>
      <c r="G1452" s="198"/>
      <c r="H1452" s="198"/>
      <c r="I1452" s="198"/>
      <c r="J1452" s="198"/>
    </row>
    <row r="1453" spans="2:10" s="15" customFormat="1" x14ac:dyDescent="0.25">
      <c r="B1453" s="26"/>
      <c r="D1453" s="8"/>
      <c r="E1453" s="8"/>
      <c r="F1453" s="198"/>
      <c r="G1453" s="198"/>
      <c r="H1453" s="198"/>
      <c r="I1453" s="198"/>
      <c r="J1453" s="198"/>
    </row>
    <row r="1454" spans="2:10" s="15" customFormat="1" x14ac:dyDescent="0.25">
      <c r="B1454" s="26"/>
      <c r="D1454" s="8"/>
      <c r="E1454" s="8"/>
      <c r="F1454" s="198"/>
      <c r="G1454" s="198"/>
      <c r="H1454" s="198"/>
      <c r="I1454" s="198"/>
      <c r="J1454" s="198"/>
    </row>
    <row r="1455" spans="2:10" s="15" customFormat="1" x14ac:dyDescent="0.25">
      <c r="B1455" s="26"/>
      <c r="D1455" s="8"/>
      <c r="E1455" s="8"/>
      <c r="F1455" s="198"/>
      <c r="G1455" s="198"/>
      <c r="H1455" s="198"/>
      <c r="I1455" s="198"/>
      <c r="J1455" s="198"/>
    </row>
    <row r="1456" spans="2:10" s="15" customFormat="1" x14ac:dyDescent="0.25">
      <c r="B1456" s="26"/>
      <c r="D1456" s="8"/>
      <c r="E1456" s="8"/>
      <c r="F1456" s="198"/>
      <c r="G1456" s="198"/>
      <c r="H1456" s="198"/>
      <c r="I1456" s="198"/>
      <c r="J1456" s="198"/>
    </row>
    <row r="1457" spans="2:10" s="15" customFormat="1" x14ac:dyDescent="0.25">
      <c r="B1457" s="26"/>
      <c r="D1457" s="8"/>
      <c r="E1457" s="8"/>
      <c r="F1457" s="198"/>
      <c r="G1457" s="198"/>
      <c r="H1457" s="198"/>
      <c r="I1457" s="198"/>
      <c r="J1457" s="198"/>
    </row>
    <row r="1458" spans="2:10" s="15" customFormat="1" x14ac:dyDescent="0.25">
      <c r="B1458" s="26"/>
      <c r="D1458" s="8"/>
      <c r="E1458" s="8"/>
      <c r="F1458" s="198"/>
      <c r="G1458" s="198"/>
      <c r="H1458" s="198"/>
      <c r="I1458" s="198"/>
      <c r="J1458" s="198"/>
    </row>
    <row r="1459" spans="2:10" s="15" customFormat="1" x14ac:dyDescent="0.25">
      <c r="B1459" s="26"/>
      <c r="D1459" s="8"/>
      <c r="E1459" s="8"/>
      <c r="F1459" s="198"/>
      <c r="G1459" s="198"/>
      <c r="H1459" s="198"/>
      <c r="I1459" s="198"/>
      <c r="J1459" s="198"/>
    </row>
    <row r="1460" spans="2:10" s="15" customFormat="1" x14ac:dyDescent="0.25">
      <c r="B1460" s="26"/>
      <c r="D1460" s="8"/>
      <c r="E1460" s="8"/>
      <c r="F1460" s="198"/>
      <c r="G1460" s="198"/>
      <c r="H1460" s="198"/>
      <c r="I1460" s="198"/>
      <c r="J1460" s="198"/>
    </row>
    <row r="1461" spans="2:10" s="15" customFormat="1" x14ac:dyDescent="0.25">
      <c r="B1461" s="26"/>
      <c r="D1461" s="8"/>
      <c r="E1461" s="8"/>
      <c r="F1461" s="198"/>
      <c r="G1461" s="198"/>
      <c r="H1461" s="198"/>
      <c r="I1461" s="198"/>
      <c r="J1461" s="198"/>
    </row>
    <row r="1462" spans="2:10" s="15" customFormat="1" x14ac:dyDescent="0.25">
      <c r="B1462" s="26"/>
      <c r="D1462" s="8"/>
      <c r="E1462" s="8"/>
      <c r="F1462" s="198"/>
      <c r="G1462" s="198"/>
      <c r="H1462" s="198"/>
      <c r="I1462" s="198"/>
      <c r="J1462" s="198"/>
    </row>
    <row r="1463" spans="2:10" s="15" customFormat="1" x14ac:dyDescent="0.25">
      <c r="B1463" s="26"/>
      <c r="D1463" s="8"/>
      <c r="E1463" s="8"/>
      <c r="F1463" s="198"/>
      <c r="G1463" s="198"/>
      <c r="H1463" s="198"/>
      <c r="I1463" s="198"/>
      <c r="J1463" s="198"/>
    </row>
    <row r="1464" spans="2:10" s="15" customFormat="1" x14ac:dyDescent="0.25">
      <c r="B1464" s="26"/>
      <c r="D1464" s="8"/>
      <c r="E1464" s="8"/>
      <c r="F1464" s="198"/>
      <c r="G1464" s="198"/>
      <c r="H1464" s="198"/>
      <c r="I1464" s="198"/>
      <c r="J1464" s="198"/>
    </row>
    <row r="1465" spans="2:10" s="15" customFormat="1" x14ac:dyDescent="0.25">
      <c r="B1465" s="26"/>
      <c r="D1465" s="8"/>
      <c r="E1465" s="8"/>
      <c r="F1465" s="198"/>
      <c r="G1465" s="198"/>
      <c r="H1465" s="198"/>
      <c r="I1465" s="198"/>
      <c r="J1465" s="198"/>
    </row>
    <row r="1466" spans="2:10" s="15" customFormat="1" x14ac:dyDescent="0.25">
      <c r="B1466" s="26"/>
      <c r="D1466" s="8"/>
      <c r="E1466" s="8"/>
      <c r="F1466" s="198"/>
      <c r="G1466" s="198"/>
      <c r="H1466" s="198"/>
      <c r="I1466" s="198"/>
      <c r="J1466" s="198"/>
    </row>
    <row r="1467" spans="2:10" s="15" customFormat="1" x14ac:dyDescent="0.25">
      <c r="B1467" s="26"/>
      <c r="D1467" s="8"/>
      <c r="E1467" s="8"/>
      <c r="F1467" s="198"/>
      <c r="G1467" s="198"/>
      <c r="H1467" s="198"/>
      <c r="I1467" s="198"/>
      <c r="J1467" s="198"/>
    </row>
    <row r="1468" spans="2:10" s="15" customFormat="1" x14ac:dyDescent="0.25">
      <c r="B1468" s="26"/>
      <c r="D1468" s="8"/>
      <c r="E1468" s="8"/>
      <c r="F1468" s="198"/>
      <c r="G1468" s="198"/>
      <c r="H1468" s="198"/>
      <c r="I1468" s="198"/>
      <c r="J1468" s="198"/>
    </row>
    <row r="1469" spans="2:10" s="15" customFormat="1" x14ac:dyDescent="0.25">
      <c r="B1469" s="26"/>
      <c r="D1469" s="8"/>
      <c r="E1469" s="8"/>
      <c r="F1469" s="198"/>
      <c r="G1469" s="198"/>
      <c r="H1469" s="198"/>
      <c r="I1469" s="198"/>
      <c r="J1469" s="198"/>
    </row>
    <row r="1470" spans="2:10" s="15" customFormat="1" x14ac:dyDescent="0.25">
      <c r="B1470" s="26"/>
      <c r="D1470" s="8"/>
      <c r="E1470" s="8"/>
      <c r="F1470" s="198"/>
      <c r="G1470" s="198"/>
      <c r="H1470" s="198"/>
      <c r="I1470" s="198"/>
      <c r="J1470" s="198"/>
    </row>
    <row r="1471" spans="2:10" s="15" customFormat="1" x14ac:dyDescent="0.25">
      <c r="B1471" s="26"/>
      <c r="D1471" s="8"/>
      <c r="E1471" s="8"/>
      <c r="F1471" s="198"/>
      <c r="G1471" s="198"/>
      <c r="H1471" s="198"/>
      <c r="I1471" s="198"/>
      <c r="J1471" s="198"/>
    </row>
    <row r="1472" spans="2:10" s="15" customFormat="1" x14ac:dyDescent="0.25">
      <c r="B1472" s="26"/>
      <c r="D1472" s="8"/>
      <c r="E1472" s="8"/>
      <c r="F1472" s="198"/>
      <c r="G1472" s="198"/>
      <c r="H1472" s="198"/>
      <c r="I1472" s="198"/>
      <c r="J1472" s="198"/>
    </row>
    <row r="1473" spans="2:10" s="15" customFormat="1" x14ac:dyDescent="0.25">
      <c r="B1473" s="26"/>
      <c r="D1473" s="8"/>
      <c r="E1473" s="8"/>
      <c r="F1473" s="198"/>
      <c r="G1473" s="198"/>
      <c r="H1473" s="198"/>
      <c r="I1473" s="198"/>
      <c r="J1473" s="198"/>
    </row>
    <row r="1474" spans="2:10" s="15" customFormat="1" x14ac:dyDescent="0.25">
      <c r="B1474" s="26"/>
      <c r="D1474" s="8"/>
      <c r="E1474" s="8"/>
      <c r="F1474" s="198"/>
      <c r="G1474" s="198"/>
      <c r="H1474" s="198"/>
      <c r="I1474" s="198"/>
      <c r="J1474" s="198"/>
    </row>
    <row r="1475" spans="2:10" s="15" customFormat="1" x14ac:dyDescent="0.25">
      <c r="B1475" s="26"/>
      <c r="D1475" s="8"/>
      <c r="E1475" s="8"/>
      <c r="F1475" s="198"/>
      <c r="G1475" s="198"/>
      <c r="H1475" s="198"/>
      <c r="I1475" s="198"/>
      <c r="J1475" s="198"/>
    </row>
    <row r="1476" spans="2:10" s="15" customFormat="1" x14ac:dyDescent="0.25">
      <c r="B1476" s="26"/>
      <c r="D1476" s="8"/>
      <c r="E1476" s="8"/>
      <c r="F1476" s="198"/>
      <c r="G1476" s="198"/>
      <c r="H1476" s="198"/>
      <c r="I1476" s="198"/>
      <c r="J1476" s="198"/>
    </row>
    <row r="1477" spans="2:10" s="15" customFormat="1" x14ac:dyDescent="0.25">
      <c r="B1477" s="26"/>
      <c r="D1477" s="8"/>
      <c r="E1477" s="8"/>
      <c r="F1477" s="198"/>
      <c r="G1477" s="198"/>
      <c r="H1477" s="198"/>
      <c r="I1477" s="198"/>
      <c r="J1477" s="198"/>
    </row>
    <row r="1478" spans="2:10" s="15" customFormat="1" x14ac:dyDescent="0.25">
      <c r="B1478" s="26"/>
      <c r="D1478" s="8"/>
      <c r="E1478" s="8"/>
      <c r="F1478" s="198"/>
      <c r="G1478" s="198"/>
      <c r="H1478" s="198"/>
      <c r="I1478" s="198"/>
      <c r="J1478" s="198"/>
    </row>
    <row r="1479" spans="2:10" s="15" customFormat="1" x14ac:dyDescent="0.25">
      <c r="B1479" s="26"/>
      <c r="D1479" s="8"/>
      <c r="E1479" s="8"/>
      <c r="F1479" s="198"/>
      <c r="G1479" s="198"/>
      <c r="H1479" s="198"/>
      <c r="I1479" s="198"/>
      <c r="J1479" s="198"/>
    </row>
    <row r="1480" spans="2:10" s="15" customFormat="1" x14ac:dyDescent="0.25">
      <c r="B1480" s="26"/>
      <c r="D1480" s="8"/>
      <c r="E1480" s="8"/>
      <c r="F1480" s="198"/>
      <c r="G1480" s="198"/>
      <c r="H1480" s="198"/>
      <c r="I1480" s="198"/>
      <c r="J1480" s="198"/>
    </row>
    <row r="1481" spans="2:10" s="15" customFormat="1" x14ac:dyDescent="0.25">
      <c r="B1481" s="26"/>
      <c r="D1481" s="8"/>
      <c r="E1481" s="8"/>
      <c r="F1481" s="198"/>
      <c r="G1481" s="198"/>
      <c r="H1481" s="198"/>
      <c r="I1481" s="198"/>
      <c r="J1481" s="198"/>
    </row>
    <row r="1482" spans="2:10" s="15" customFormat="1" x14ac:dyDescent="0.25">
      <c r="B1482" s="26"/>
      <c r="D1482" s="8"/>
      <c r="E1482" s="8"/>
      <c r="F1482" s="198"/>
      <c r="G1482" s="198"/>
      <c r="H1482" s="198"/>
      <c r="I1482" s="198"/>
      <c r="J1482" s="198"/>
    </row>
    <row r="1483" spans="2:10" s="15" customFormat="1" x14ac:dyDescent="0.25">
      <c r="B1483" s="26"/>
      <c r="D1483" s="8"/>
      <c r="E1483" s="8"/>
      <c r="F1483" s="198"/>
      <c r="G1483" s="198"/>
      <c r="H1483" s="198"/>
      <c r="I1483" s="198"/>
      <c r="J1483" s="198"/>
    </row>
    <row r="1484" spans="2:10" s="15" customFormat="1" x14ac:dyDescent="0.25">
      <c r="B1484" s="26"/>
      <c r="D1484" s="8"/>
      <c r="E1484" s="8"/>
      <c r="F1484" s="198"/>
      <c r="G1484" s="198"/>
      <c r="H1484" s="198"/>
      <c r="I1484" s="198"/>
      <c r="J1484" s="198"/>
    </row>
    <row r="1485" spans="2:10" s="15" customFormat="1" x14ac:dyDescent="0.25">
      <c r="B1485" s="26"/>
      <c r="D1485" s="8"/>
      <c r="E1485" s="8"/>
      <c r="F1485" s="198"/>
      <c r="G1485" s="198"/>
      <c r="H1485" s="198"/>
      <c r="I1485" s="198"/>
      <c r="J1485" s="198"/>
    </row>
  </sheetData>
  <mergeCells count="18">
    <mergeCell ref="A47:J47"/>
    <mergeCell ref="A55:J55"/>
    <mergeCell ref="A63:J63"/>
    <mergeCell ref="A77:J77"/>
    <mergeCell ref="A86:J86"/>
    <mergeCell ref="A57:J57"/>
    <mergeCell ref="A5:A6"/>
    <mergeCell ref="A8:J8"/>
    <mergeCell ref="A33:J33"/>
    <mergeCell ref="A1:J1"/>
    <mergeCell ref="A2:J3"/>
    <mergeCell ref="A4:J4"/>
    <mergeCell ref="G5:J5"/>
    <mergeCell ref="F5:F6"/>
    <mergeCell ref="E5:E6"/>
    <mergeCell ref="D5:D6"/>
    <mergeCell ref="C5:C6"/>
    <mergeCell ref="B5:B6"/>
  </mergeCells>
  <pageMargins left="0.7" right="0.7" top="0.75" bottom="0.75" header="0.3" footer="0.3"/>
  <pageSetup paperSize="9" scale="98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9"/>
  <sheetViews>
    <sheetView topLeftCell="B1" zoomScale="120" zoomScaleNormal="120" workbookViewId="0">
      <pane ySplit="3" topLeftCell="A73" activePane="bottomLeft" state="frozen"/>
      <selection pane="bottomLeft" activeCell="P7" sqref="P7"/>
    </sheetView>
  </sheetViews>
  <sheetFormatPr defaultRowHeight="12.75" x14ac:dyDescent="0.2"/>
  <cols>
    <col min="1" max="1" width="35.28515625" style="35" customWidth="1"/>
    <col min="2" max="2" width="8.5703125" style="27" customWidth="1"/>
    <col min="3" max="3" width="14.28515625" style="27" customWidth="1"/>
    <col min="4" max="4" width="8.5703125" style="122" customWidth="1"/>
    <col min="5" max="5" width="8.7109375" style="122" bestFit="1" customWidth="1"/>
    <col min="6" max="6" width="9.28515625" style="209" customWidth="1"/>
    <col min="7" max="7" width="9.7109375" style="209" customWidth="1"/>
    <col min="8" max="8" width="9.42578125" style="209" customWidth="1"/>
    <col min="9" max="9" width="7.5703125" style="209" bestFit="1" customWidth="1"/>
    <col min="10" max="10" width="9.7109375" style="209" customWidth="1"/>
    <col min="11" max="11" width="17.5703125" style="210" bestFit="1" customWidth="1"/>
    <col min="12" max="16384" width="9.140625" style="27"/>
  </cols>
  <sheetData>
    <row r="1" spans="1:11" ht="50.1" customHeight="1" x14ac:dyDescent="0.2">
      <c r="A1" s="272" t="s">
        <v>33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</row>
    <row r="2" spans="1:11" ht="37.5" customHeight="1" x14ac:dyDescent="0.2">
      <c r="A2" s="282" t="s">
        <v>22</v>
      </c>
      <c r="B2" s="284" t="s">
        <v>23</v>
      </c>
      <c r="C2" s="282" t="s">
        <v>24</v>
      </c>
      <c r="D2" s="281" t="s">
        <v>25</v>
      </c>
      <c r="E2" s="281" t="s">
        <v>26</v>
      </c>
      <c r="F2" s="280" t="s">
        <v>125</v>
      </c>
      <c r="G2" s="280" t="s">
        <v>126</v>
      </c>
      <c r="H2" s="280"/>
      <c r="I2" s="280"/>
      <c r="J2" s="280"/>
      <c r="K2" s="285" t="s">
        <v>127</v>
      </c>
    </row>
    <row r="3" spans="1:11" ht="15.75" customHeight="1" x14ac:dyDescent="0.2">
      <c r="A3" s="282"/>
      <c r="B3" s="284"/>
      <c r="C3" s="282"/>
      <c r="D3" s="281"/>
      <c r="E3" s="281"/>
      <c r="F3" s="280"/>
      <c r="G3" s="54" t="s">
        <v>128</v>
      </c>
      <c r="H3" s="54" t="s">
        <v>129</v>
      </c>
      <c r="I3" s="54" t="s">
        <v>130</v>
      </c>
      <c r="J3" s="54" t="s">
        <v>131</v>
      </c>
      <c r="K3" s="285"/>
    </row>
    <row r="4" spans="1:11" s="30" customFormat="1" x14ac:dyDescent="0.2">
      <c r="A4" s="29">
        <v>1</v>
      </c>
      <c r="B4" s="29">
        <v>2</v>
      </c>
      <c r="C4" s="29">
        <v>3</v>
      </c>
      <c r="D4" s="120">
        <v>4</v>
      </c>
      <c r="E4" s="120">
        <v>5</v>
      </c>
      <c r="F4" s="200">
        <v>6</v>
      </c>
      <c r="G4" s="200">
        <v>7</v>
      </c>
      <c r="H4" s="200">
        <v>8</v>
      </c>
      <c r="I4" s="200">
        <v>9</v>
      </c>
      <c r="J4" s="200">
        <v>10</v>
      </c>
      <c r="K4" s="201">
        <v>11</v>
      </c>
    </row>
    <row r="5" spans="1:11" x14ac:dyDescent="0.2">
      <c r="A5" s="286" t="s">
        <v>133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</row>
    <row r="6" spans="1:11" ht="25.5" x14ac:dyDescent="0.2">
      <c r="A6" s="31" t="s">
        <v>34</v>
      </c>
      <c r="B6" s="32">
        <v>1000</v>
      </c>
      <c r="C6" s="33">
        <f>'інформ про бізнес '!D8</f>
        <v>12940.8</v>
      </c>
      <c r="D6" s="150">
        <f>'інформ про бізнес '!G8</f>
        <v>24814.9</v>
      </c>
      <c r="E6" s="150">
        <f>D6</f>
        <v>24814.9</v>
      </c>
      <c r="F6" s="202">
        <f>G6+H6+I6+J6</f>
        <v>19126.902200000004</v>
      </c>
      <c r="G6" s="202">
        <f>довідка!B8*довідка!B10+довідка!B9*довідка!B11+'інформ про бізнес '!$M$6/4</f>
        <v>9619.9905500000004</v>
      </c>
      <c r="H6" s="202">
        <f>довідка!C8*довідка!C10+довідка!C9*довідка!C11+'інформ про бізнес '!$M$6/4</f>
        <v>162.79395</v>
      </c>
      <c r="I6" s="202">
        <f>довідка!D8*довідка!D10+довідка!D9*довідка!D11+'інформ про бізнес '!$M$6/4</f>
        <v>122.91515000000001</v>
      </c>
      <c r="J6" s="202">
        <f>довідка!E8*довідка!E10+довідка!E9*довідка!E11+'інформ про бізнес '!$M$6/4</f>
        <v>9221.2025500000018</v>
      </c>
      <c r="K6" s="203" t="s">
        <v>0</v>
      </c>
    </row>
    <row r="7" spans="1:11" ht="25.5" x14ac:dyDescent="0.2">
      <c r="A7" s="31" t="s">
        <v>35</v>
      </c>
      <c r="B7" s="32">
        <v>1010</v>
      </c>
      <c r="C7" s="33">
        <f>SUM(C8:C15)</f>
        <v>16318.699999999997</v>
      </c>
      <c r="D7" s="150">
        <f t="shared" ref="D7" si="0">SUM(D8:D15)</f>
        <v>22498.799999999999</v>
      </c>
      <c r="E7" s="150">
        <f t="shared" ref="E7:E70" si="1">D7</f>
        <v>22498.799999999999</v>
      </c>
      <c r="F7" s="202">
        <f>SUM(F8:F15)</f>
        <v>23894.091368827601</v>
      </c>
      <c r="G7" s="202">
        <f>SUM(G8:G15)</f>
        <v>10245.606684326543</v>
      </c>
      <c r="H7" s="202">
        <f t="shared" ref="H7:J7" si="2">SUM(H8:H15)</f>
        <v>2657.3425301490256</v>
      </c>
      <c r="I7" s="202">
        <f t="shared" si="2"/>
        <v>1761.6377883999999</v>
      </c>
      <c r="J7" s="202">
        <f t="shared" si="2"/>
        <v>9229.5043659520306</v>
      </c>
      <c r="K7" s="203" t="s">
        <v>0</v>
      </c>
    </row>
    <row r="8" spans="1:11" x14ac:dyDescent="0.2">
      <c r="A8" s="34" t="s">
        <v>137</v>
      </c>
      <c r="B8" s="29">
        <v>1011</v>
      </c>
      <c r="C8" s="56">
        <v>604.9</v>
      </c>
      <c r="D8" s="55">
        <v>201.4</v>
      </c>
      <c r="E8" s="150">
        <f t="shared" si="1"/>
        <v>201.4</v>
      </c>
      <c r="F8" s="261">
        <f>G8+H8+I8+J8</f>
        <v>218.11619999999999</v>
      </c>
      <c r="G8" s="54">
        <f>$D$8*довідка!$B$1/100/4</f>
        <v>54.529049999999998</v>
      </c>
      <c r="H8" s="54">
        <f>$D$8*довідка!$B$1/100/4</f>
        <v>54.529049999999998</v>
      </c>
      <c r="I8" s="54">
        <f>$D$8*довідка!$B$1/100/4</f>
        <v>54.529049999999998</v>
      </c>
      <c r="J8" s="54">
        <f>$D$8*довідка!$B$1/100/4</f>
        <v>54.529049999999998</v>
      </c>
      <c r="K8" s="204" t="s">
        <v>0</v>
      </c>
    </row>
    <row r="9" spans="1:11" x14ac:dyDescent="0.2">
      <c r="A9" s="34" t="s">
        <v>139</v>
      </c>
      <c r="B9" s="29">
        <v>1012</v>
      </c>
      <c r="C9" s="56">
        <v>8961.7999999999993</v>
      </c>
      <c r="D9" s="55">
        <v>13929.2</v>
      </c>
      <c r="E9" s="150">
        <f t="shared" si="1"/>
        <v>13929.2</v>
      </c>
      <c r="F9" s="261">
        <f>G9+H9+I9+J9</f>
        <v>13481.251921227598</v>
      </c>
      <c r="G9" s="54">
        <f>(довідка!B14*довідка!$G$19+довідка!B15*довідка!$H$19+довідка!B18*довідка!$F$19+довідка!B21*довідка!$K$19+довідка!B22*довідка!$L$19+довідка!B23*довідка!$M$19)/1000+62*3</f>
        <v>6614.5302006004567</v>
      </c>
      <c r="H9" s="54">
        <f>(довідка!C14*довідка!$G$19+довідка!C15*довідка!$H$19+довідка!C18*довідка!$F$19+довідка!C21*довідка!$K$19+довідка!C22*довідка!$L$19+довідка!C23*довідка!$M$19)/1000+62*3</f>
        <v>813.93404005337391</v>
      </c>
      <c r="I9" s="54">
        <f>(довідка!D14*довідка!$G$19+довідка!D15*довідка!$H$19+довідка!D18*довідка!$F$19+довідка!D21*довідка!$K$19+довідка!D22*довідка!$L$19+довідка!D23*довідка!$M$19)/1000+62*3</f>
        <v>186</v>
      </c>
      <c r="J9" s="54">
        <f>(довідка!E14*довідка!$G$19+довідка!E15*довідка!$H$19+довідка!E18*довідка!$F$19+довідка!E21*довідка!$K$19+довідка!E22*довідка!$L$19+довідка!E23*довідка!$M$19)/1000+62*3</f>
        <v>5866.7876805737687</v>
      </c>
      <c r="K9" s="204" t="s">
        <v>0</v>
      </c>
    </row>
    <row r="10" spans="1:11" x14ac:dyDescent="0.2">
      <c r="A10" s="34" t="s">
        <v>141</v>
      </c>
      <c r="B10" s="29">
        <v>1013</v>
      </c>
      <c r="C10" s="56">
        <v>484</v>
      </c>
      <c r="D10" s="55">
        <v>927.9</v>
      </c>
      <c r="E10" s="150">
        <f t="shared" si="1"/>
        <v>927.9</v>
      </c>
      <c r="F10" s="261">
        <f t="shared" ref="F10:F13" si="3">G10+H10+I10+J10</f>
        <v>1352.901554</v>
      </c>
      <c r="G10" s="54">
        <f>довідка!B19*довідка!$I$19/1000</f>
        <v>661.74532532608703</v>
      </c>
      <c r="H10" s="54">
        <f>довідка!C19*довідка!$I$19/1000</f>
        <v>58.821806695652178</v>
      </c>
      <c r="I10" s="54">
        <f>довідка!D19*довідка!$I$19/1000</f>
        <v>0</v>
      </c>
      <c r="J10" s="54">
        <f>довідка!E19*довідка!$I$19/1000</f>
        <v>632.33442197826093</v>
      </c>
      <c r="K10" s="204"/>
    </row>
    <row r="11" spans="1:11" x14ac:dyDescent="0.2">
      <c r="A11" s="34" t="s">
        <v>117</v>
      </c>
      <c r="B11" s="29">
        <v>1014</v>
      </c>
      <c r="C11" s="56">
        <v>4134.2</v>
      </c>
      <c r="D11" s="55">
        <v>5347.1</v>
      </c>
      <c r="E11" s="150">
        <f t="shared" si="1"/>
        <v>5347.1</v>
      </c>
      <c r="F11" s="261">
        <f t="shared" si="3"/>
        <v>5392.6318799999999</v>
      </c>
      <c r="G11" s="54">
        <f>'штатний розклад'!F43</f>
        <v>1935.73722</v>
      </c>
      <c r="H11" s="54">
        <f>'штатний розклад'!G43</f>
        <v>956.43846999999994</v>
      </c>
      <c r="I11" s="54">
        <f>'штатний розклад'!H43</f>
        <v>760.57871999999998</v>
      </c>
      <c r="J11" s="54">
        <f>'штатний розклад'!I43</f>
        <v>1739.8774699999999</v>
      </c>
      <c r="K11" s="204" t="s">
        <v>0</v>
      </c>
    </row>
    <row r="12" spans="1:11" x14ac:dyDescent="0.2">
      <c r="A12" s="34" t="s">
        <v>144</v>
      </c>
      <c r="B12" s="29">
        <v>1015</v>
      </c>
      <c r="C12" s="56">
        <v>942.8</v>
      </c>
      <c r="D12" s="55">
        <v>1176.4000000000001</v>
      </c>
      <c r="E12" s="150">
        <f t="shared" si="1"/>
        <v>1176.4000000000001</v>
      </c>
      <c r="F12" s="261">
        <f t="shared" si="3"/>
        <v>1186.3790136</v>
      </c>
      <c r="G12" s="54">
        <f>G11*0.22</f>
        <v>425.86218839999998</v>
      </c>
      <c r="H12" s="54">
        <f t="shared" ref="H12:I12" si="4">H11*0.22</f>
        <v>210.4164634</v>
      </c>
      <c r="I12" s="54">
        <f t="shared" si="4"/>
        <v>167.3273184</v>
      </c>
      <c r="J12" s="54">
        <f>J11*0.22</f>
        <v>382.77304340000001</v>
      </c>
      <c r="K12" s="204" t="s">
        <v>0</v>
      </c>
    </row>
    <row r="13" spans="1:11" ht="51" x14ac:dyDescent="0.2">
      <c r="A13" s="34" t="s">
        <v>146</v>
      </c>
      <c r="B13" s="29">
        <v>1016</v>
      </c>
      <c r="C13" s="56">
        <v>263.2</v>
      </c>
      <c r="D13" s="55">
        <v>467.6</v>
      </c>
      <c r="E13" s="150">
        <f t="shared" si="1"/>
        <v>467.6</v>
      </c>
      <c r="F13" s="261">
        <f t="shared" si="3"/>
        <v>796.41079999999999</v>
      </c>
      <c r="G13" s="54">
        <f>$D$13*довідка!$B$1/100/4+60</f>
        <v>186.6027</v>
      </c>
      <c r="H13" s="54">
        <f>$D$13*довідка!$B$1/100/4+70</f>
        <v>196.6027</v>
      </c>
      <c r="I13" s="54">
        <f>$D$13*довідка!$B$1/100/4+100</f>
        <v>226.6027</v>
      </c>
      <c r="J13" s="54">
        <f>$D$13*довідка!$B$1/100/4+60</f>
        <v>186.6027</v>
      </c>
      <c r="K13" s="204"/>
    </row>
    <row r="14" spans="1:11" ht="25.5" x14ac:dyDescent="0.2">
      <c r="A14" s="34" t="s">
        <v>148</v>
      </c>
      <c r="B14" s="29">
        <v>1017</v>
      </c>
      <c r="C14" s="56">
        <v>927.8</v>
      </c>
      <c r="D14" s="55">
        <v>449.2</v>
      </c>
      <c r="E14" s="150">
        <f t="shared" si="1"/>
        <v>449.2</v>
      </c>
      <c r="F14" s="261">
        <f>G14+H14+I14+J14</f>
        <v>1466.4</v>
      </c>
      <c r="G14" s="54">
        <v>366.6</v>
      </c>
      <c r="H14" s="228">
        <v>366.6</v>
      </c>
      <c r="I14" s="228">
        <v>366.6</v>
      </c>
      <c r="J14" s="228">
        <v>366.6</v>
      </c>
      <c r="K14" s="204" t="s">
        <v>0</v>
      </c>
    </row>
    <row r="15" spans="1:11" x14ac:dyDescent="0.2">
      <c r="A15" s="34" t="s">
        <v>150</v>
      </c>
      <c r="B15" s="29">
        <v>1018</v>
      </c>
      <c r="C15" s="56">
        <v>0</v>
      </c>
      <c r="D15" s="55">
        <v>0</v>
      </c>
      <c r="E15" s="150">
        <f t="shared" si="1"/>
        <v>0</v>
      </c>
      <c r="F15" s="261">
        <f>G15+H15+I15+J15</f>
        <v>0</v>
      </c>
      <c r="G15" s="205">
        <f>$C$15*довідка!$B$2/100/4</f>
        <v>0</v>
      </c>
      <c r="H15" s="205">
        <f>$C$15*довідка!$B$2/100/4</f>
        <v>0</v>
      </c>
      <c r="I15" s="205">
        <f>$C$15*довідка!$B$2/100/4</f>
        <v>0</v>
      </c>
      <c r="J15" s="205">
        <f>$C$15*довідка!$B$2/100/4</f>
        <v>0</v>
      </c>
      <c r="K15" s="204" t="s">
        <v>0</v>
      </c>
    </row>
    <row r="16" spans="1:11" s="64" customFormat="1" x14ac:dyDescent="0.2">
      <c r="A16" s="52" t="s">
        <v>152</v>
      </c>
      <c r="B16" s="61">
        <v>1020</v>
      </c>
      <c r="C16" s="59">
        <f>C6-C7</f>
        <v>-3377.8999999999978</v>
      </c>
      <c r="D16" s="65">
        <f>D6-D7</f>
        <v>2316.1000000000022</v>
      </c>
      <c r="E16" s="150">
        <f t="shared" si="1"/>
        <v>2316.1000000000022</v>
      </c>
      <c r="F16" s="202">
        <f>G16+H16+I16+J16</f>
        <v>-4767.1891688275973</v>
      </c>
      <c r="G16" s="202">
        <f>G6-G7</f>
        <v>-625.61613432654303</v>
      </c>
      <c r="H16" s="202">
        <f>H6-H7</f>
        <v>-2494.5485801490258</v>
      </c>
      <c r="I16" s="202">
        <f>I6-I7</f>
        <v>-1638.7226383999998</v>
      </c>
      <c r="J16" s="202">
        <f>J6-J7</f>
        <v>-8.3018159520288464</v>
      </c>
      <c r="K16" s="203" t="s">
        <v>0</v>
      </c>
    </row>
    <row r="17" spans="1:11" s="64" customFormat="1" x14ac:dyDescent="0.2">
      <c r="A17" s="52" t="s">
        <v>155</v>
      </c>
      <c r="B17" s="61">
        <v>1030</v>
      </c>
      <c r="C17" s="65">
        <f>SUM(C18:C39)</f>
        <v>1671.3</v>
      </c>
      <c r="D17" s="65">
        <f t="shared" ref="D17" si="5">SUM(D18:D39)</f>
        <v>2239.7000000000003</v>
      </c>
      <c r="E17" s="150">
        <f t="shared" si="1"/>
        <v>2239.7000000000003</v>
      </c>
      <c r="F17" s="202">
        <f>SUM(F18:F39)</f>
        <v>2355.1427000000003</v>
      </c>
      <c r="G17" s="202">
        <f>SUM(G18:G39)</f>
        <v>588.78567500000008</v>
      </c>
      <c r="H17" s="202">
        <f t="shared" ref="H17:J17" si="6">SUM(H18:H39)</f>
        <v>588.78567500000008</v>
      </c>
      <c r="I17" s="202">
        <f t="shared" si="6"/>
        <v>588.78567500000008</v>
      </c>
      <c r="J17" s="202">
        <f t="shared" si="6"/>
        <v>588.78567500000008</v>
      </c>
      <c r="K17" s="203" t="s">
        <v>0</v>
      </c>
    </row>
    <row r="18" spans="1:11" ht="25.5" x14ac:dyDescent="0.2">
      <c r="A18" s="34" t="s">
        <v>162</v>
      </c>
      <c r="B18" s="29">
        <v>1031</v>
      </c>
      <c r="C18" s="54">
        <v>0</v>
      </c>
      <c r="D18" s="54">
        <v>0</v>
      </c>
      <c r="E18" s="150">
        <f t="shared" si="1"/>
        <v>0</v>
      </c>
      <c r="F18" s="261">
        <f t="shared" ref="F18:F80" si="7">G18+H18+I18+J18</f>
        <v>0</v>
      </c>
      <c r="G18" s="54">
        <v>0</v>
      </c>
      <c r="H18" s="54">
        <v>0</v>
      </c>
      <c r="I18" s="54">
        <v>0</v>
      </c>
      <c r="J18" s="54">
        <v>0</v>
      </c>
      <c r="K18" s="204" t="s">
        <v>0</v>
      </c>
    </row>
    <row r="19" spans="1:11" x14ac:dyDescent="0.2">
      <c r="A19" s="34" t="s">
        <v>163</v>
      </c>
      <c r="B19" s="29">
        <v>1032</v>
      </c>
      <c r="C19" s="54">
        <v>0</v>
      </c>
      <c r="D19" s="54">
        <v>0</v>
      </c>
      <c r="E19" s="150">
        <f t="shared" si="1"/>
        <v>0</v>
      </c>
      <c r="F19" s="261">
        <f t="shared" si="7"/>
        <v>0</v>
      </c>
      <c r="G19" s="54">
        <f>$D$19*довідка!$B$1/100/4</f>
        <v>0</v>
      </c>
      <c r="H19" s="54">
        <f>$D$19*довідка!$B$1/100/4</f>
        <v>0</v>
      </c>
      <c r="I19" s="54">
        <f>$D$19*довідка!$B$1/100/4</f>
        <v>0</v>
      </c>
      <c r="J19" s="54">
        <f>$D$19*довідка!$B$1/100/4</f>
        <v>0</v>
      </c>
      <c r="K19" s="204" t="s">
        <v>0</v>
      </c>
    </row>
    <row r="20" spans="1:11" x14ac:dyDescent="0.2">
      <c r="A20" s="34" t="s">
        <v>164</v>
      </c>
      <c r="B20" s="29">
        <v>1033</v>
      </c>
      <c r="C20" s="54">
        <v>0</v>
      </c>
      <c r="D20" s="54">
        <v>0</v>
      </c>
      <c r="E20" s="150">
        <f t="shared" si="1"/>
        <v>0</v>
      </c>
      <c r="F20" s="261">
        <f t="shared" si="7"/>
        <v>0</v>
      </c>
      <c r="G20" s="54">
        <v>0</v>
      </c>
      <c r="H20" s="54">
        <v>0</v>
      </c>
      <c r="I20" s="54">
        <v>0</v>
      </c>
      <c r="J20" s="54">
        <v>0</v>
      </c>
      <c r="K20" s="204" t="s">
        <v>0</v>
      </c>
    </row>
    <row r="21" spans="1:11" x14ac:dyDescent="0.2">
      <c r="A21" s="34" t="s">
        <v>165</v>
      </c>
      <c r="B21" s="29">
        <v>1034</v>
      </c>
      <c r="C21" s="54">
        <v>0</v>
      </c>
      <c r="D21" s="54">
        <v>0</v>
      </c>
      <c r="E21" s="150">
        <f t="shared" si="1"/>
        <v>0</v>
      </c>
      <c r="F21" s="261">
        <f t="shared" si="7"/>
        <v>0</v>
      </c>
      <c r="G21" s="54">
        <v>0</v>
      </c>
      <c r="H21" s="54">
        <v>0</v>
      </c>
      <c r="I21" s="54">
        <v>0</v>
      </c>
      <c r="J21" s="54">
        <v>0</v>
      </c>
      <c r="K21" s="204" t="s">
        <v>0</v>
      </c>
    </row>
    <row r="22" spans="1:11" x14ac:dyDescent="0.2">
      <c r="A22" s="34" t="s">
        <v>166</v>
      </c>
      <c r="B22" s="29">
        <v>1035</v>
      </c>
      <c r="C22" s="54">
        <v>0</v>
      </c>
      <c r="D22" s="54">
        <v>0</v>
      </c>
      <c r="E22" s="150">
        <f t="shared" si="1"/>
        <v>0</v>
      </c>
      <c r="F22" s="261">
        <f t="shared" si="7"/>
        <v>0</v>
      </c>
      <c r="G22" s="54">
        <v>0</v>
      </c>
      <c r="H22" s="54">
        <v>0</v>
      </c>
      <c r="I22" s="54">
        <v>0</v>
      </c>
      <c r="J22" s="54">
        <v>0</v>
      </c>
      <c r="K22" s="204" t="s">
        <v>0</v>
      </c>
    </row>
    <row r="23" spans="1:11" x14ac:dyDescent="0.2">
      <c r="A23" s="34" t="s">
        <v>167</v>
      </c>
      <c r="B23" s="29">
        <v>1036</v>
      </c>
      <c r="C23" s="54">
        <v>0</v>
      </c>
      <c r="D23" s="54">
        <v>0</v>
      </c>
      <c r="E23" s="150">
        <f t="shared" si="1"/>
        <v>0</v>
      </c>
      <c r="F23" s="261">
        <f t="shared" si="7"/>
        <v>0</v>
      </c>
      <c r="G23" s="54">
        <v>0</v>
      </c>
      <c r="H23" s="54">
        <v>0</v>
      </c>
      <c r="I23" s="54">
        <v>0</v>
      </c>
      <c r="J23" s="54">
        <v>0</v>
      </c>
      <c r="K23" s="204" t="s">
        <v>0</v>
      </c>
    </row>
    <row r="24" spans="1:11" x14ac:dyDescent="0.2">
      <c r="A24" s="34" t="s">
        <v>168</v>
      </c>
      <c r="B24" s="53">
        <v>1037</v>
      </c>
      <c r="C24" s="54">
        <v>10.1</v>
      </c>
      <c r="D24" s="54">
        <v>12</v>
      </c>
      <c r="E24" s="150">
        <f t="shared" si="1"/>
        <v>12</v>
      </c>
      <c r="F24" s="261">
        <f>G24+H24+I24+J24</f>
        <v>12</v>
      </c>
      <c r="G24" s="54">
        <f>ROUND($D$24*довідка!$B$1/100/4,0)</f>
        <v>3</v>
      </c>
      <c r="H24" s="54">
        <f>ROUND($D$24*довідка!$B$1/100/4,0)</f>
        <v>3</v>
      </c>
      <c r="I24" s="54">
        <f>ROUND($D$24*довідка!$B$1/100/4,0)</f>
        <v>3</v>
      </c>
      <c r="J24" s="54">
        <f>ROUND($D$24*довідка!$B$1/100/4,0)</f>
        <v>3</v>
      </c>
      <c r="K24" s="204" t="s">
        <v>0</v>
      </c>
    </row>
    <row r="25" spans="1:11" x14ac:dyDescent="0.2">
      <c r="A25" s="34" t="s">
        <v>169</v>
      </c>
      <c r="B25" s="29">
        <v>1038</v>
      </c>
      <c r="C25" s="54">
        <v>1307.4000000000001</v>
      </c>
      <c r="D25" s="54">
        <v>1675.4</v>
      </c>
      <c r="E25" s="150">
        <f t="shared" si="1"/>
        <v>1675.4</v>
      </c>
      <c r="F25" s="261">
        <f>G25+H25+I25+J25</f>
        <v>1758</v>
      </c>
      <c r="G25" s="54">
        <f>'штатний розклад'!F42</f>
        <v>439.5</v>
      </c>
      <c r="H25" s="54">
        <f>'штатний розклад'!G42</f>
        <v>439.5</v>
      </c>
      <c r="I25" s="54">
        <f>'штатний розклад'!H42</f>
        <v>439.5</v>
      </c>
      <c r="J25" s="54">
        <f>'штатний розклад'!I42</f>
        <v>439.5</v>
      </c>
      <c r="K25" s="204" t="s">
        <v>0</v>
      </c>
    </row>
    <row r="26" spans="1:11" x14ac:dyDescent="0.2">
      <c r="A26" s="34" t="s">
        <v>170</v>
      </c>
      <c r="B26" s="29">
        <v>1039</v>
      </c>
      <c r="C26" s="54">
        <v>237.8</v>
      </c>
      <c r="D26" s="54">
        <v>368.6</v>
      </c>
      <c r="E26" s="150">
        <f t="shared" si="1"/>
        <v>368.6</v>
      </c>
      <c r="F26" s="261">
        <f t="shared" si="7"/>
        <v>386.76</v>
      </c>
      <c r="G26" s="54">
        <f>G25*0.22</f>
        <v>96.69</v>
      </c>
      <c r="H26" s="54">
        <f t="shared" ref="H26:J26" si="8">H25*0.22</f>
        <v>96.69</v>
      </c>
      <c r="I26" s="54">
        <f t="shared" si="8"/>
        <v>96.69</v>
      </c>
      <c r="J26" s="54">
        <f t="shared" si="8"/>
        <v>96.69</v>
      </c>
      <c r="K26" s="204" t="s">
        <v>0</v>
      </c>
    </row>
    <row r="27" spans="1:11" ht="38.25" x14ac:dyDescent="0.2">
      <c r="A27" s="34" t="s">
        <v>171</v>
      </c>
      <c r="B27" s="29">
        <v>1040</v>
      </c>
      <c r="C27" s="54">
        <v>63.6</v>
      </c>
      <c r="D27" s="54">
        <v>6.8</v>
      </c>
      <c r="E27" s="150">
        <f t="shared" si="1"/>
        <v>6.8</v>
      </c>
      <c r="F27" s="261">
        <f>G27+H27+I27+J27</f>
        <v>6.8</v>
      </c>
      <c r="G27" s="54">
        <f>$D$27/4</f>
        <v>1.7</v>
      </c>
      <c r="H27" s="54">
        <f t="shared" ref="H27:J27" si="9">$D$27/4</f>
        <v>1.7</v>
      </c>
      <c r="I27" s="54">
        <f t="shared" si="9"/>
        <v>1.7</v>
      </c>
      <c r="J27" s="54">
        <f t="shared" si="9"/>
        <v>1.7</v>
      </c>
      <c r="K27" s="204" t="s">
        <v>0</v>
      </c>
    </row>
    <row r="28" spans="1:11" ht="38.25" x14ac:dyDescent="0.2">
      <c r="A28" s="34" t="s">
        <v>172</v>
      </c>
      <c r="B28" s="29">
        <v>1041</v>
      </c>
      <c r="C28" s="54">
        <v>0</v>
      </c>
      <c r="D28" s="54">
        <v>0</v>
      </c>
      <c r="E28" s="150">
        <f t="shared" si="1"/>
        <v>0</v>
      </c>
      <c r="F28" s="261">
        <f t="shared" si="7"/>
        <v>0</v>
      </c>
      <c r="G28" s="54">
        <v>0</v>
      </c>
      <c r="H28" s="54">
        <v>0</v>
      </c>
      <c r="I28" s="54">
        <v>0</v>
      </c>
      <c r="J28" s="54">
        <v>0</v>
      </c>
      <c r="K28" s="204" t="s">
        <v>0</v>
      </c>
    </row>
    <row r="29" spans="1:11" ht="25.5" x14ac:dyDescent="0.2">
      <c r="A29" s="34" t="s">
        <v>173</v>
      </c>
      <c r="B29" s="29">
        <v>1042</v>
      </c>
      <c r="C29" s="54">
        <v>0</v>
      </c>
      <c r="D29" s="54">
        <v>0</v>
      </c>
      <c r="E29" s="150">
        <f t="shared" si="1"/>
        <v>0</v>
      </c>
      <c r="F29" s="261">
        <f t="shared" si="7"/>
        <v>0</v>
      </c>
      <c r="G29" s="54">
        <v>0</v>
      </c>
      <c r="H29" s="54">
        <v>0</v>
      </c>
      <c r="I29" s="54">
        <v>0</v>
      </c>
      <c r="J29" s="54">
        <v>0</v>
      </c>
      <c r="K29" s="204" t="s">
        <v>0</v>
      </c>
    </row>
    <row r="30" spans="1:11" ht="25.5" x14ac:dyDescent="0.2">
      <c r="A30" s="34" t="s">
        <v>174</v>
      </c>
      <c r="B30" s="29">
        <v>1043</v>
      </c>
      <c r="C30" s="54">
        <v>0</v>
      </c>
      <c r="D30" s="54">
        <v>0</v>
      </c>
      <c r="E30" s="150">
        <f t="shared" si="1"/>
        <v>0</v>
      </c>
      <c r="F30" s="261">
        <f t="shared" si="7"/>
        <v>0</v>
      </c>
      <c r="G30" s="54">
        <v>0</v>
      </c>
      <c r="H30" s="54">
        <v>0</v>
      </c>
      <c r="I30" s="54">
        <v>0</v>
      </c>
      <c r="J30" s="54">
        <v>0</v>
      </c>
      <c r="K30" s="204" t="s">
        <v>0</v>
      </c>
    </row>
    <row r="31" spans="1:11" x14ac:dyDescent="0.2">
      <c r="A31" s="34" t="s">
        <v>175</v>
      </c>
      <c r="B31" s="29">
        <v>1044</v>
      </c>
      <c r="C31" s="54">
        <v>2.2000000000000002</v>
      </c>
      <c r="D31" s="54">
        <v>0</v>
      </c>
      <c r="E31" s="150">
        <f t="shared" si="1"/>
        <v>0</v>
      </c>
      <c r="F31" s="261">
        <f t="shared" si="7"/>
        <v>0</v>
      </c>
      <c r="G31" s="54">
        <f>$D$31*довідка!$B$1/100/4</f>
        <v>0</v>
      </c>
      <c r="H31" s="54">
        <f>$D$31*довідка!$B$1/100/4</f>
        <v>0</v>
      </c>
      <c r="I31" s="54">
        <f>$D$31*довідка!$B$1/100/4</f>
        <v>0</v>
      </c>
      <c r="J31" s="54">
        <f>$D$31*довідка!$B$1/100/4</f>
        <v>0</v>
      </c>
      <c r="K31" s="204" t="s">
        <v>0</v>
      </c>
    </row>
    <row r="32" spans="1:11" x14ac:dyDescent="0.2">
      <c r="A32" s="34" t="s">
        <v>176</v>
      </c>
      <c r="B32" s="29">
        <v>1045</v>
      </c>
      <c r="C32" s="54">
        <v>1</v>
      </c>
      <c r="D32" s="54">
        <v>0</v>
      </c>
      <c r="E32" s="150">
        <f t="shared" si="1"/>
        <v>0</v>
      </c>
      <c r="F32" s="261">
        <f t="shared" si="7"/>
        <v>0</v>
      </c>
      <c r="G32" s="54">
        <v>0</v>
      </c>
      <c r="H32" s="54">
        <v>0</v>
      </c>
      <c r="I32" s="54">
        <v>0</v>
      </c>
      <c r="J32" s="54">
        <v>0</v>
      </c>
      <c r="K32" s="204" t="s">
        <v>0</v>
      </c>
    </row>
    <row r="33" spans="1:11" x14ac:dyDescent="0.2">
      <c r="A33" s="34" t="s">
        <v>177</v>
      </c>
      <c r="B33" s="29">
        <v>1046</v>
      </c>
      <c r="C33" s="54">
        <v>0</v>
      </c>
      <c r="D33" s="54">
        <v>0</v>
      </c>
      <c r="E33" s="150">
        <f t="shared" si="1"/>
        <v>0</v>
      </c>
      <c r="F33" s="261">
        <f t="shared" si="7"/>
        <v>0</v>
      </c>
      <c r="G33" s="54">
        <f>$D$33*довідка!$B$1/100/4</f>
        <v>0</v>
      </c>
      <c r="H33" s="54">
        <f>$C$33*довідка!$B$1/100/4</f>
        <v>0</v>
      </c>
      <c r="I33" s="54">
        <f>$C$33*довідка!$B$1/100/4</f>
        <v>0</v>
      </c>
      <c r="J33" s="54">
        <f>$C$33*довідка!$B$1/100/4</f>
        <v>0</v>
      </c>
      <c r="K33" s="204" t="s">
        <v>0</v>
      </c>
    </row>
    <row r="34" spans="1:11" x14ac:dyDescent="0.2">
      <c r="A34" s="34" t="s">
        <v>178</v>
      </c>
      <c r="B34" s="29">
        <v>1047</v>
      </c>
      <c r="C34" s="54">
        <v>24.7</v>
      </c>
      <c r="D34" s="54">
        <v>0</v>
      </c>
      <c r="E34" s="150">
        <f t="shared" si="1"/>
        <v>0</v>
      </c>
      <c r="F34" s="261">
        <f t="shared" si="7"/>
        <v>0</v>
      </c>
      <c r="G34" s="54">
        <v>0</v>
      </c>
      <c r="H34" s="54">
        <v>0</v>
      </c>
      <c r="I34" s="54">
        <v>0</v>
      </c>
      <c r="J34" s="54">
        <v>0</v>
      </c>
      <c r="K34" s="204" t="s">
        <v>0</v>
      </c>
    </row>
    <row r="35" spans="1:11" ht="25.5" x14ac:dyDescent="0.2">
      <c r="A35" s="34" t="s">
        <v>179</v>
      </c>
      <c r="B35" s="29">
        <v>1048</v>
      </c>
      <c r="C35" s="54">
        <v>0</v>
      </c>
      <c r="D35" s="54">
        <v>0</v>
      </c>
      <c r="E35" s="150">
        <f t="shared" si="1"/>
        <v>0</v>
      </c>
      <c r="F35" s="261">
        <f t="shared" si="7"/>
        <v>0</v>
      </c>
      <c r="G35" s="54">
        <v>0</v>
      </c>
      <c r="H35" s="54">
        <v>0</v>
      </c>
      <c r="I35" s="54">
        <v>0</v>
      </c>
      <c r="J35" s="54">
        <v>0</v>
      </c>
      <c r="K35" s="204" t="s">
        <v>0</v>
      </c>
    </row>
    <row r="36" spans="1:11" ht="25.5" x14ac:dyDescent="0.2">
      <c r="A36" s="34" t="s">
        <v>180</v>
      </c>
      <c r="B36" s="29">
        <v>1049</v>
      </c>
      <c r="C36" s="54">
        <v>0</v>
      </c>
      <c r="D36" s="54">
        <v>0</v>
      </c>
      <c r="E36" s="150">
        <f t="shared" si="1"/>
        <v>0</v>
      </c>
      <c r="F36" s="261">
        <f t="shared" si="7"/>
        <v>0</v>
      </c>
      <c r="G36" s="54">
        <v>0</v>
      </c>
      <c r="H36" s="54">
        <v>0</v>
      </c>
      <c r="I36" s="54">
        <v>0</v>
      </c>
      <c r="J36" s="54">
        <v>0</v>
      </c>
      <c r="K36" s="204" t="s">
        <v>0</v>
      </c>
    </row>
    <row r="37" spans="1:11" ht="51" x14ac:dyDescent="0.2">
      <c r="A37" s="34" t="s">
        <v>181</v>
      </c>
      <c r="B37" s="29">
        <v>1050</v>
      </c>
      <c r="C37" s="54">
        <v>0</v>
      </c>
      <c r="D37" s="54">
        <v>0</v>
      </c>
      <c r="E37" s="150">
        <f t="shared" si="1"/>
        <v>0</v>
      </c>
      <c r="F37" s="261">
        <f t="shared" si="7"/>
        <v>0</v>
      </c>
      <c r="G37" s="54">
        <v>0</v>
      </c>
      <c r="H37" s="54">
        <v>0</v>
      </c>
      <c r="I37" s="54">
        <v>0</v>
      </c>
      <c r="J37" s="54">
        <v>0</v>
      </c>
      <c r="K37" s="204" t="s">
        <v>0</v>
      </c>
    </row>
    <row r="38" spans="1:11" x14ac:dyDescent="0.2">
      <c r="A38" s="34" t="s">
        <v>182</v>
      </c>
      <c r="B38" s="29" t="s">
        <v>183</v>
      </c>
      <c r="C38" s="54">
        <v>0</v>
      </c>
      <c r="D38" s="54">
        <v>0</v>
      </c>
      <c r="E38" s="150">
        <f t="shared" si="1"/>
        <v>0</v>
      </c>
      <c r="F38" s="261">
        <f t="shared" si="7"/>
        <v>0</v>
      </c>
      <c r="G38" s="54">
        <v>0</v>
      </c>
      <c r="H38" s="54">
        <v>0</v>
      </c>
      <c r="I38" s="54">
        <v>0</v>
      </c>
      <c r="J38" s="54">
        <v>0</v>
      </c>
      <c r="K38" s="204" t="s">
        <v>0</v>
      </c>
    </row>
    <row r="39" spans="1:11" ht="25.5" x14ac:dyDescent="0.2">
      <c r="A39" s="34" t="s">
        <v>184</v>
      </c>
      <c r="B39" s="29">
        <v>1051</v>
      </c>
      <c r="C39" s="55">
        <v>24.5</v>
      </c>
      <c r="D39" s="55">
        <v>176.9</v>
      </c>
      <c r="E39" s="150">
        <f t="shared" si="1"/>
        <v>176.9</v>
      </c>
      <c r="F39" s="261">
        <f>G39+H39+I39+J39</f>
        <v>191.58270000000002</v>
      </c>
      <c r="G39" s="54">
        <f>$D$39*довідка!$B$1/100/4</f>
        <v>47.895675000000004</v>
      </c>
      <c r="H39" s="54">
        <f>$D$39*довідка!$B$1/100/4</f>
        <v>47.895675000000004</v>
      </c>
      <c r="I39" s="54">
        <f>$D$39*довідка!$B$1/100/4</f>
        <v>47.895675000000004</v>
      </c>
      <c r="J39" s="54">
        <f>$D$39*довідка!$B$1/100/4</f>
        <v>47.895675000000004</v>
      </c>
      <c r="K39" s="206"/>
    </row>
    <row r="40" spans="1:11" s="64" customFormat="1" x14ac:dyDescent="0.2">
      <c r="A40" s="52" t="s">
        <v>185</v>
      </c>
      <c r="B40" s="61">
        <v>1060</v>
      </c>
      <c r="C40" s="59">
        <v>0</v>
      </c>
      <c r="D40" s="65">
        <v>0</v>
      </c>
      <c r="E40" s="150">
        <f t="shared" si="1"/>
        <v>0</v>
      </c>
      <c r="F40" s="202">
        <f t="shared" si="7"/>
        <v>0</v>
      </c>
      <c r="G40" s="202">
        <v>0</v>
      </c>
      <c r="H40" s="202">
        <v>0</v>
      </c>
      <c r="I40" s="202">
        <v>0</v>
      </c>
      <c r="J40" s="202">
        <v>0</v>
      </c>
      <c r="K40" s="203" t="s">
        <v>0</v>
      </c>
    </row>
    <row r="41" spans="1:11" x14ac:dyDescent="0.2">
      <c r="A41" s="34" t="s">
        <v>186</v>
      </c>
      <c r="B41" s="29">
        <v>1061</v>
      </c>
      <c r="C41" s="56">
        <v>0</v>
      </c>
      <c r="D41" s="55">
        <v>0</v>
      </c>
      <c r="E41" s="150">
        <f t="shared" si="1"/>
        <v>0</v>
      </c>
      <c r="F41" s="261">
        <f t="shared" si="7"/>
        <v>0</v>
      </c>
      <c r="G41" s="54">
        <v>0</v>
      </c>
      <c r="H41" s="54">
        <v>0</v>
      </c>
      <c r="I41" s="54">
        <v>0</v>
      </c>
      <c r="J41" s="54">
        <v>0</v>
      </c>
      <c r="K41" s="204" t="s">
        <v>0</v>
      </c>
    </row>
    <row r="42" spans="1:11" x14ac:dyDescent="0.2">
      <c r="A42" s="34" t="s">
        <v>187</v>
      </c>
      <c r="B42" s="29">
        <v>1062</v>
      </c>
      <c r="C42" s="56">
        <v>0</v>
      </c>
      <c r="D42" s="55">
        <v>0</v>
      </c>
      <c r="E42" s="150">
        <f t="shared" si="1"/>
        <v>0</v>
      </c>
      <c r="F42" s="261">
        <f t="shared" si="7"/>
        <v>0</v>
      </c>
      <c r="G42" s="54">
        <v>0</v>
      </c>
      <c r="H42" s="54">
        <v>0</v>
      </c>
      <c r="I42" s="54">
        <v>0</v>
      </c>
      <c r="J42" s="54">
        <v>0</v>
      </c>
      <c r="K42" s="204" t="s">
        <v>0</v>
      </c>
    </row>
    <row r="43" spans="1:11" x14ac:dyDescent="0.2">
      <c r="A43" s="34" t="s">
        <v>169</v>
      </c>
      <c r="B43" s="29">
        <v>1063</v>
      </c>
      <c r="C43" s="56">
        <v>0</v>
      </c>
      <c r="D43" s="55">
        <v>0</v>
      </c>
      <c r="E43" s="150">
        <f t="shared" si="1"/>
        <v>0</v>
      </c>
      <c r="F43" s="261">
        <f t="shared" si="7"/>
        <v>0</v>
      </c>
      <c r="G43" s="54">
        <v>0</v>
      </c>
      <c r="H43" s="54">
        <v>0</v>
      </c>
      <c r="I43" s="54">
        <v>0</v>
      </c>
      <c r="J43" s="54">
        <v>0</v>
      </c>
      <c r="K43" s="204" t="s">
        <v>0</v>
      </c>
    </row>
    <row r="44" spans="1:11" x14ac:dyDescent="0.2">
      <c r="A44" s="34" t="s">
        <v>170</v>
      </c>
      <c r="B44" s="29">
        <v>1064</v>
      </c>
      <c r="C44" s="56">
        <v>0</v>
      </c>
      <c r="D44" s="55">
        <v>0</v>
      </c>
      <c r="E44" s="150">
        <f t="shared" si="1"/>
        <v>0</v>
      </c>
      <c r="F44" s="261">
        <f t="shared" si="7"/>
        <v>0</v>
      </c>
      <c r="G44" s="54">
        <v>0</v>
      </c>
      <c r="H44" s="54">
        <v>0</v>
      </c>
      <c r="I44" s="54">
        <v>0</v>
      </c>
      <c r="J44" s="54">
        <v>0</v>
      </c>
      <c r="K44" s="204" t="s">
        <v>0</v>
      </c>
    </row>
    <row r="45" spans="1:11" ht="25.5" x14ac:dyDescent="0.2">
      <c r="A45" s="34" t="s">
        <v>188</v>
      </c>
      <c r="B45" s="29">
        <v>1065</v>
      </c>
      <c r="C45" s="56">
        <v>0</v>
      </c>
      <c r="D45" s="55">
        <v>0</v>
      </c>
      <c r="E45" s="150">
        <f t="shared" si="1"/>
        <v>0</v>
      </c>
      <c r="F45" s="261">
        <f t="shared" si="7"/>
        <v>0</v>
      </c>
      <c r="G45" s="54">
        <v>0</v>
      </c>
      <c r="H45" s="54">
        <v>0</v>
      </c>
      <c r="I45" s="54">
        <v>0</v>
      </c>
      <c r="J45" s="54">
        <v>0</v>
      </c>
      <c r="K45" s="204" t="s">
        <v>0</v>
      </c>
    </row>
    <row r="46" spans="1:11" x14ac:dyDescent="0.2">
      <c r="A46" s="34" t="s">
        <v>189</v>
      </c>
      <c r="B46" s="29">
        <v>1066</v>
      </c>
      <c r="C46" s="56">
        <v>0</v>
      </c>
      <c r="D46" s="55">
        <v>0</v>
      </c>
      <c r="E46" s="150">
        <f t="shared" si="1"/>
        <v>0</v>
      </c>
      <c r="F46" s="261">
        <f t="shared" si="7"/>
        <v>0</v>
      </c>
      <c r="G46" s="54">
        <v>0</v>
      </c>
      <c r="H46" s="54">
        <v>0</v>
      </c>
      <c r="I46" s="54">
        <v>0</v>
      </c>
      <c r="J46" s="54">
        <v>0</v>
      </c>
      <c r="K46" s="204" t="s">
        <v>0</v>
      </c>
    </row>
    <row r="47" spans="1:11" x14ac:dyDescent="0.2">
      <c r="A47" s="34" t="s">
        <v>190</v>
      </c>
      <c r="B47" s="29">
        <v>1067</v>
      </c>
      <c r="C47" s="56">
        <v>0</v>
      </c>
      <c r="D47" s="55">
        <v>0</v>
      </c>
      <c r="E47" s="150">
        <f t="shared" si="1"/>
        <v>0</v>
      </c>
      <c r="F47" s="261">
        <f t="shared" si="7"/>
        <v>0</v>
      </c>
      <c r="G47" s="54">
        <v>0</v>
      </c>
      <c r="H47" s="54">
        <v>0</v>
      </c>
      <c r="I47" s="54">
        <v>0</v>
      </c>
      <c r="J47" s="54">
        <v>0</v>
      </c>
      <c r="K47" s="204" t="s">
        <v>0</v>
      </c>
    </row>
    <row r="48" spans="1:11" s="64" customFormat="1" ht="25.5" x14ac:dyDescent="0.2">
      <c r="A48" s="52" t="s">
        <v>191</v>
      </c>
      <c r="B48" s="61">
        <v>1070</v>
      </c>
      <c r="C48" s="59">
        <f>SUM(C49:C51)</f>
        <v>73.599999999999994</v>
      </c>
      <c r="D48" s="65">
        <v>0</v>
      </c>
      <c r="E48" s="150">
        <f t="shared" si="1"/>
        <v>0</v>
      </c>
      <c r="F48" s="202">
        <f>G48+H48+I48+J48</f>
        <v>0</v>
      </c>
      <c r="G48" s="202">
        <v>0</v>
      </c>
      <c r="H48" s="202">
        <v>0</v>
      </c>
      <c r="I48" s="202">
        <v>0</v>
      </c>
      <c r="J48" s="202">
        <v>0</v>
      </c>
      <c r="K48" s="203" t="s">
        <v>0</v>
      </c>
    </row>
    <row r="49" spans="1:11" x14ac:dyDescent="0.2">
      <c r="A49" s="34" t="s">
        <v>192</v>
      </c>
      <c r="B49" s="29">
        <v>1071</v>
      </c>
      <c r="C49" s="56">
        <v>0</v>
      </c>
      <c r="D49" s="55">
        <v>0</v>
      </c>
      <c r="E49" s="150">
        <f t="shared" si="1"/>
        <v>0</v>
      </c>
      <c r="F49" s="261">
        <f t="shared" si="7"/>
        <v>0</v>
      </c>
      <c r="G49" s="54">
        <v>0</v>
      </c>
      <c r="H49" s="54">
        <v>0</v>
      </c>
      <c r="I49" s="54">
        <v>0</v>
      </c>
      <c r="J49" s="54">
        <v>0</v>
      </c>
      <c r="K49" s="204" t="s">
        <v>0</v>
      </c>
    </row>
    <row r="50" spans="1:11" ht="25.5" x14ac:dyDescent="0.2">
      <c r="A50" s="34" t="s">
        <v>193</v>
      </c>
      <c r="B50" s="29">
        <v>1072</v>
      </c>
      <c r="C50" s="56">
        <v>0</v>
      </c>
      <c r="D50" s="55">
        <v>0</v>
      </c>
      <c r="E50" s="150">
        <f t="shared" si="1"/>
        <v>0</v>
      </c>
      <c r="F50" s="261">
        <f t="shared" si="7"/>
        <v>0</v>
      </c>
      <c r="G50" s="54">
        <v>0</v>
      </c>
      <c r="H50" s="54">
        <v>0</v>
      </c>
      <c r="I50" s="54">
        <v>0</v>
      </c>
      <c r="J50" s="54">
        <v>0</v>
      </c>
      <c r="K50" s="204" t="s">
        <v>0</v>
      </c>
    </row>
    <row r="51" spans="1:11" x14ac:dyDescent="0.2">
      <c r="A51" s="34" t="s">
        <v>194</v>
      </c>
      <c r="B51" s="29">
        <v>1073</v>
      </c>
      <c r="C51" s="33">
        <v>73.599999999999994</v>
      </c>
      <c r="D51" s="150">
        <v>0</v>
      </c>
      <c r="E51" s="150">
        <f t="shared" si="1"/>
        <v>0</v>
      </c>
      <c r="F51" s="261">
        <f t="shared" si="7"/>
        <v>0</v>
      </c>
      <c r="G51" s="54">
        <v>0</v>
      </c>
      <c r="H51" s="54">
        <v>0</v>
      </c>
      <c r="I51" s="54">
        <v>0</v>
      </c>
      <c r="J51" s="54">
        <v>0</v>
      </c>
      <c r="K51" s="204" t="s">
        <v>0</v>
      </c>
    </row>
    <row r="52" spans="1:11" s="64" customFormat="1" ht="25.5" x14ac:dyDescent="0.2">
      <c r="A52" s="52" t="s">
        <v>195</v>
      </c>
      <c r="B52" s="61">
        <v>1080</v>
      </c>
      <c r="C52" s="59">
        <f>SUM(C53:C58)</f>
        <v>32.1</v>
      </c>
      <c r="D52" s="65">
        <f t="shared" ref="D52" si="10">SUM(D53:D58)</f>
        <v>36.200000000000003</v>
      </c>
      <c r="E52" s="150">
        <f t="shared" si="1"/>
        <v>36.200000000000003</v>
      </c>
      <c r="F52" s="202">
        <f>G52+H52+I52+J52</f>
        <v>51.789059999999999</v>
      </c>
      <c r="G52" s="202">
        <f>SUM(G53:G58)</f>
        <v>12.947265</v>
      </c>
      <c r="H52" s="202">
        <f>SUM(H53:H58)</f>
        <v>12.947265</v>
      </c>
      <c r="I52" s="202">
        <f t="shared" ref="I52:J52" si="11">SUM(I53:I58)</f>
        <v>12.947265</v>
      </c>
      <c r="J52" s="202">
        <f t="shared" si="11"/>
        <v>12.947265</v>
      </c>
      <c r="K52" s="203" t="s">
        <v>0</v>
      </c>
    </row>
    <row r="53" spans="1:11" x14ac:dyDescent="0.2">
      <c r="A53" s="34" t="s">
        <v>192</v>
      </c>
      <c r="B53" s="29">
        <v>1081</v>
      </c>
      <c r="C53" s="56">
        <v>0</v>
      </c>
      <c r="D53" s="55">
        <v>0</v>
      </c>
      <c r="E53" s="150">
        <f t="shared" si="1"/>
        <v>0</v>
      </c>
      <c r="F53" s="261">
        <f t="shared" si="7"/>
        <v>0</v>
      </c>
      <c r="G53" s="54">
        <v>0</v>
      </c>
      <c r="H53" s="54">
        <v>0</v>
      </c>
      <c r="I53" s="54">
        <v>0</v>
      </c>
      <c r="J53" s="54">
        <v>0</v>
      </c>
      <c r="K53" s="204" t="s">
        <v>0</v>
      </c>
    </row>
    <row r="54" spans="1:11" ht="25.5" x14ac:dyDescent="0.2">
      <c r="A54" s="34" t="s">
        <v>196</v>
      </c>
      <c r="B54" s="29">
        <v>1082</v>
      </c>
      <c r="C54" s="56">
        <v>0</v>
      </c>
      <c r="D54" s="55">
        <v>0</v>
      </c>
      <c r="E54" s="150">
        <f t="shared" si="1"/>
        <v>0</v>
      </c>
      <c r="F54" s="261">
        <f t="shared" si="7"/>
        <v>0</v>
      </c>
      <c r="G54" s="54">
        <v>0</v>
      </c>
      <c r="H54" s="54">
        <v>0</v>
      </c>
      <c r="I54" s="54">
        <v>0</v>
      </c>
      <c r="J54" s="54">
        <v>0</v>
      </c>
      <c r="K54" s="204" t="s">
        <v>0</v>
      </c>
    </row>
    <row r="55" spans="1:11" x14ac:dyDescent="0.2">
      <c r="A55" s="34" t="s">
        <v>197</v>
      </c>
      <c r="B55" s="29">
        <v>1083</v>
      </c>
      <c r="C55" s="56">
        <v>0</v>
      </c>
      <c r="D55" s="55">
        <v>0</v>
      </c>
      <c r="E55" s="150">
        <f t="shared" si="1"/>
        <v>0</v>
      </c>
      <c r="F55" s="261">
        <f t="shared" si="7"/>
        <v>0</v>
      </c>
      <c r="G55" s="54">
        <v>0</v>
      </c>
      <c r="H55" s="54">
        <v>0</v>
      </c>
      <c r="I55" s="54">
        <v>0</v>
      </c>
      <c r="J55" s="54">
        <v>0</v>
      </c>
      <c r="K55" s="204" t="s">
        <v>0</v>
      </c>
    </row>
    <row r="56" spans="1:11" x14ac:dyDescent="0.2">
      <c r="A56" s="34" t="s">
        <v>198</v>
      </c>
      <c r="B56" s="29">
        <v>1084</v>
      </c>
      <c r="C56" s="56">
        <v>0</v>
      </c>
      <c r="D56" s="55">
        <v>0</v>
      </c>
      <c r="E56" s="150">
        <f t="shared" si="1"/>
        <v>0</v>
      </c>
      <c r="F56" s="261">
        <f t="shared" si="7"/>
        <v>0</v>
      </c>
      <c r="G56" s="54">
        <v>0</v>
      </c>
      <c r="H56" s="54">
        <v>0</v>
      </c>
      <c r="I56" s="54">
        <v>0</v>
      </c>
      <c r="J56" s="54">
        <v>0</v>
      </c>
      <c r="K56" s="204" t="s">
        <v>0</v>
      </c>
    </row>
    <row r="57" spans="1:11" ht="25.5" x14ac:dyDescent="0.2">
      <c r="A57" s="34" t="s">
        <v>199</v>
      </c>
      <c r="B57" s="29">
        <v>1085</v>
      </c>
      <c r="C57" s="56">
        <v>0</v>
      </c>
      <c r="D57" s="55">
        <v>0</v>
      </c>
      <c r="E57" s="150">
        <f t="shared" si="1"/>
        <v>0</v>
      </c>
      <c r="F57" s="261">
        <f>G57+H57+I57+J57</f>
        <v>0</v>
      </c>
      <c r="G57" s="54">
        <v>0</v>
      </c>
      <c r="H57" s="54">
        <v>0</v>
      </c>
      <c r="I57" s="54">
        <v>0</v>
      </c>
      <c r="J57" s="54">
        <v>0</v>
      </c>
      <c r="K57" s="204" t="s">
        <v>0</v>
      </c>
    </row>
    <row r="58" spans="1:11" x14ac:dyDescent="0.2">
      <c r="A58" s="34" t="s">
        <v>200</v>
      </c>
      <c r="B58" s="29">
        <v>1086</v>
      </c>
      <c r="C58" s="33">
        <v>32.1</v>
      </c>
      <c r="D58" s="150">
        <v>36.200000000000003</v>
      </c>
      <c r="E58" s="150">
        <f t="shared" si="1"/>
        <v>36.200000000000003</v>
      </c>
      <c r="F58" s="261">
        <f>G58+H58+I58+J58</f>
        <v>51.789059999999999</v>
      </c>
      <c r="G58" s="54">
        <f>'інформ про бізнес '!$M$6/4*0.3</f>
        <v>12.947265</v>
      </c>
      <c r="H58" s="54">
        <f>'інформ про бізнес '!$M$6/4*0.3</f>
        <v>12.947265</v>
      </c>
      <c r="I58" s="54">
        <f>'інформ про бізнес '!$M$6/4*0.3</f>
        <v>12.947265</v>
      </c>
      <c r="J58" s="54">
        <f>'інформ про бізнес '!$M$6/4*0.3</f>
        <v>12.947265</v>
      </c>
      <c r="K58" s="206"/>
    </row>
    <row r="59" spans="1:11" s="64" customFormat="1" ht="25.5" x14ac:dyDescent="0.2">
      <c r="A59" s="52" t="s">
        <v>42</v>
      </c>
      <c r="B59" s="61">
        <v>1100</v>
      </c>
      <c r="C59" s="59">
        <f>C16+C48-C17-C40-C52</f>
        <v>-5007.699999999998</v>
      </c>
      <c r="D59" s="65">
        <f>D16+D48-D17-D40-D52</f>
        <v>40.200000000001907</v>
      </c>
      <c r="E59" s="150">
        <f t="shared" si="1"/>
        <v>40.200000000001907</v>
      </c>
      <c r="F59" s="202">
        <f>F16+F48-F17-F40-F52</f>
        <v>-7174.1209288275977</v>
      </c>
      <c r="G59" s="202">
        <f>G16+G48-G17-G40-G52</f>
        <v>-1227.3490743265431</v>
      </c>
      <c r="H59" s="202">
        <f>H16+H48-H17-H40-H52</f>
        <v>-3096.2815201490257</v>
      </c>
      <c r="I59" s="202">
        <f t="shared" ref="I59:J59" si="12">I16+I48-I17-I40-I52</f>
        <v>-2240.4555783999995</v>
      </c>
      <c r="J59" s="202">
        <f t="shared" si="12"/>
        <v>-610.03475595202895</v>
      </c>
      <c r="K59" s="203" t="s">
        <v>0</v>
      </c>
    </row>
    <row r="60" spans="1:11" x14ac:dyDescent="0.2">
      <c r="A60" s="34" t="s">
        <v>201</v>
      </c>
      <c r="B60" s="29">
        <v>1110</v>
      </c>
      <c r="C60" s="56">
        <v>0</v>
      </c>
      <c r="D60" s="55">
        <v>0</v>
      </c>
      <c r="E60" s="150">
        <f t="shared" si="1"/>
        <v>0</v>
      </c>
      <c r="F60" s="261">
        <f t="shared" si="7"/>
        <v>0</v>
      </c>
      <c r="G60" s="54">
        <v>0</v>
      </c>
      <c r="H60" s="54">
        <v>0</v>
      </c>
      <c r="I60" s="54">
        <v>0</v>
      </c>
      <c r="J60" s="54">
        <v>0</v>
      </c>
      <c r="K60" s="204" t="s">
        <v>0</v>
      </c>
    </row>
    <row r="61" spans="1:11" ht="25.5" x14ac:dyDescent="0.2">
      <c r="A61" s="34" t="s">
        <v>202</v>
      </c>
      <c r="B61" s="29">
        <v>1120</v>
      </c>
      <c r="C61" s="56">
        <v>0</v>
      </c>
      <c r="D61" s="55">
        <v>0</v>
      </c>
      <c r="E61" s="150">
        <f t="shared" si="1"/>
        <v>0</v>
      </c>
      <c r="F61" s="261">
        <f t="shared" si="7"/>
        <v>0</v>
      </c>
      <c r="G61" s="54">
        <v>0</v>
      </c>
      <c r="H61" s="54">
        <v>0</v>
      </c>
      <c r="I61" s="54">
        <v>0</v>
      </c>
      <c r="J61" s="54">
        <v>0</v>
      </c>
      <c r="K61" s="204" t="s">
        <v>0</v>
      </c>
    </row>
    <row r="62" spans="1:11" x14ac:dyDescent="0.2">
      <c r="A62" s="34" t="s">
        <v>203</v>
      </c>
      <c r="B62" s="29">
        <v>1130</v>
      </c>
      <c r="C62" s="56">
        <v>0</v>
      </c>
      <c r="D62" s="55">
        <v>0</v>
      </c>
      <c r="E62" s="150">
        <f t="shared" si="1"/>
        <v>0</v>
      </c>
      <c r="F62" s="261">
        <f t="shared" si="7"/>
        <v>0</v>
      </c>
      <c r="G62" s="54">
        <v>0</v>
      </c>
      <c r="H62" s="54">
        <v>0</v>
      </c>
      <c r="I62" s="54">
        <v>0</v>
      </c>
      <c r="J62" s="54">
        <v>0</v>
      </c>
      <c r="K62" s="204" t="s">
        <v>0</v>
      </c>
    </row>
    <row r="63" spans="1:11" x14ac:dyDescent="0.2">
      <c r="A63" s="34" t="s">
        <v>204</v>
      </c>
      <c r="B63" s="29">
        <v>1140</v>
      </c>
      <c r="C63" s="56">
        <v>0</v>
      </c>
      <c r="D63" s="55">
        <v>0</v>
      </c>
      <c r="E63" s="150">
        <f t="shared" si="1"/>
        <v>0</v>
      </c>
      <c r="F63" s="261">
        <f t="shared" si="7"/>
        <v>0</v>
      </c>
      <c r="G63" s="54">
        <v>0</v>
      </c>
      <c r="H63" s="54">
        <v>0</v>
      </c>
      <c r="I63" s="54">
        <v>0</v>
      </c>
      <c r="J63" s="54">
        <v>0</v>
      </c>
      <c r="K63" s="204" t="s">
        <v>0</v>
      </c>
    </row>
    <row r="64" spans="1:11" s="64" customFormat="1" x14ac:dyDescent="0.2">
      <c r="A64" s="52" t="s">
        <v>205</v>
      </c>
      <c r="B64" s="61">
        <v>1150</v>
      </c>
      <c r="C64" s="59">
        <f>SUM(C65:C66)</f>
        <v>4026.9</v>
      </c>
      <c r="D64" s="65">
        <f t="shared" ref="D64" si="13">SUM(D65:D66)</f>
        <v>0</v>
      </c>
      <c r="E64" s="150">
        <f t="shared" si="1"/>
        <v>0</v>
      </c>
      <c r="F64" s="202">
        <f>G64+H64+I64+J64</f>
        <v>0</v>
      </c>
      <c r="G64" s="202">
        <f t="shared" ref="G64:J64" si="14">SUM(G65:G66)</f>
        <v>0</v>
      </c>
      <c r="H64" s="202">
        <f t="shared" si="14"/>
        <v>0</v>
      </c>
      <c r="I64" s="202">
        <f t="shared" si="14"/>
        <v>0</v>
      </c>
      <c r="J64" s="202">
        <f t="shared" si="14"/>
        <v>0</v>
      </c>
      <c r="K64" s="207"/>
    </row>
    <row r="65" spans="1:11" x14ac:dyDescent="0.2">
      <c r="A65" s="34" t="s">
        <v>192</v>
      </c>
      <c r="B65" s="29">
        <v>1151</v>
      </c>
      <c r="C65" s="56">
        <v>0</v>
      </c>
      <c r="D65" s="55">
        <v>0</v>
      </c>
      <c r="E65" s="150">
        <f t="shared" si="1"/>
        <v>0</v>
      </c>
      <c r="F65" s="261">
        <f t="shared" si="7"/>
        <v>0</v>
      </c>
      <c r="G65" s="54">
        <v>0</v>
      </c>
      <c r="H65" s="54">
        <v>0</v>
      </c>
      <c r="I65" s="54">
        <v>0</v>
      </c>
      <c r="J65" s="54">
        <v>0</v>
      </c>
      <c r="K65" s="204" t="s">
        <v>0</v>
      </c>
    </row>
    <row r="66" spans="1:11" x14ac:dyDescent="0.2">
      <c r="A66" s="34" t="s">
        <v>206</v>
      </c>
      <c r="B66" s="29">
        <v>1152</v>
      </c>
      <c r="C66" s="56">
        <v>4026.9</v>
      </c>
      <c r="D66" s="55">
        <v>0</v>
      </c>
      <c r="E66" s="150">
        <f t="shared" si="1"/>
        <v>0</v>
      </c>
      <c r="F66" s="261">
        <f t="shared" si="7"/>
        <v>0</v>
      </c>
      <c r="G66" s="54">
        <v>0</v>
      </c>
      <c r="H66" s="54">
        <v>0</v>
      </c>
      <c r="I66" s="54">
        <v>0</v>
      </c>
      <c r="J66" s="54">
        <v>0</v>
      </c>
      <c r="K66" s="204" t="s">
        <v>0</v>
      </c>
    </row>
    <row r="67" spans="1:11" s="64" customFormat="1" x14ac:dyDescent="0.2">
      <c r="A67" s="52" t="s">
        <v>207</v>
      </c>
      <c r="B67" s="61">
        <v>1160</v>
      </c>
      <c r="C67" s="59">
        <f>SUM(C68:C69)</f>
        <v>0</v>
      </c>
      <c r="D67" s="65">
        <f t="shared" ref="D67" si="15">SUM(D68:D69)</f>
        <v>0</v>
      </c>
      <c r="E67" s="150">
        <f t="shared" si="1"/>
        <v>0</v>
      </c>
      <c r="F67" s="202">
        <f t="shared" si="7"/>
        <v>0</v>
      </c>
      <c r="G67" s="202">
        <f t="shared" ref="G67:J67" si="16">SUM(G68:G69)</f>
        <v>0</v>
      </c>
      <c r="H67" s="202">
        <f t="shared" si="16"/>
        <v>0</v>
      </c>
      <c r="I67" s="202">
        <f t="shared" si="16"/>
        <v>0</v>
      </c>
      <c r="J67" s="202">
        <f t="shared" si="16"/>
        <v>0</v>
      </c>
      <c r="K67" s="203" t="s">
        <v>0</v>
      </c>
    </row>
    <row r="68" spans="1:11" x14ac:dyDescent="0.2">
      <c r="A68" s="34" t="s">
        <v>192</v>
      </c>
      <c r="B68" s="29">
        <v>1161</v>
      </c>
      <c r="C68" s="56">
        <v>0</v>
      </c>
      <c r="D68" s="55">
        <v>0</v>
      </c>
      <c r="E68" s="150">
        <f t="shared" si="1"/>
        <v>0</v>
      </c>
      <c r="F68" s="261">
        <f t="shared" si="7"/>
        <v>0</v>
      </c>
      <c r="G68" s="54">
        <v>0</v>
      </c>
      <c r="H68" s="54">
        <v>0</v>
      </c>
      <c r="I68" s="54">
        <v>0</v>
      </c>
      <c r="J68" s="54">
        <v>0</v>
      </c>
      <c r="K68" s="204" t="s">
        <v>0</v>
      </c>
    </row>
    <row r="69" spans="1:11" x14ac:dyDescent="0.2">
      <c r="A69" s="34" t="s">
        <v>208</v>
      </c>
      <c r="B69" s="29">
        <v>1162</v>
      </c>
      <c r="C69" s="56">
        <v>0</v>
      </c>
      <c r="D69" s="55">
        <v>0</v>
      </c>
      <c r="E69" s="150">
        <f t="shared" si="1"/>
        <v>0</v>
      </c>
      <c r="F69" s="261">
        <f t="shared" si="7"/>
        <v>0</v>
      </c>
      <c r="G69" s="54">
        <v>0</v>
      </c>
      <c r="H69" s="54">
        <v>0</v>
      </c>
      <c r="I69" s="54">
        <v>0</v>
      </c>
      <c r="J69" s="54">
        <v>0</v>
      </c>
      <c r="K69" s="204" t="s">
        <v>0</v>
      </c>
    </row>
    <row r="70" spans="1:11" s="64" customFormat="1" ht="26.25" customHeight="1" x14ac:dyDescent="0.2">
      <c r="A70" s="52" t="s">
        <v>51</v>
      </c>
      <c r="B70" s="61">
        <v>1170</v>
      </c>
      <c r="C70" s="59">
        <f>C59+C64-C67</f>
        <v>-980.79999999999791</v>
      </c>
      <c r="D70" s="65">
        <f t="shared" ref="D70" si="17">D59+D64-D67</f>
        <v>40.200000000001907</v>
      </c>
      <c r="E70" s="150">
        <f t="shared" si="1"/>
        <v>40.200000000001907</v>
      </c>
      <c r="F70" s="202">
        <f>F59+F60-F61-F62-F63</f>
        <v>-7174.1209288275977</v>
      </c>
      <c r="G70" s="202">
        <f t="shared" ref="G70:J70" si="18">G59+G64-G67</f>
        <v>-1227.3490743265431</v>
      </c>
      <c r="H70" s="202">
        <f t="shared" si="18"/>
        <v>-3096.2815201490257</v>
      </c>
      <c r="I70" s="202">
        <f t="shared" si="18"/>
        <v>-2240.4555783999995</v>
      </c>
      <c r="J70" s="202">
        <f t="shared" si="18"/>
        <v>-610.03475595202895</v>
      </c>
      <c r="K70" s="203" t="s">
        <v>0</v>
      </c>
    </row>
    <row r="71" spans="1:11" x14ac:dyDescent="0.2">
      <c r="A71" s="34" t="s">
        <v>52</v>
      </c>
      <c r="B71" s="29">
        <v>1180</v>
      </c>
      <c r="C71" s="51">
        <v>0</v>
      </c>
      <c r="D71" s="156">
        <v>2.8</v>
      </c>
      <c r="E71" s="150">
        <f t="shared" ref="E71:E80" si="19">D71</f>
        <v>2.8</v>
      </c>
      <c r="F71" s="261">
        <f>G71+H71+I71+J71</f>
        <v>-1291.3417671889677</v>
      </c>
      <c r="G71" s="54">
        <f>'розрахунки з бюджетом'!G21</f>
        <v>0</v>
      </c>
      <c r="H71" s="54">
        <f>'розрахунки з бюджетом'!H21</f>
        <v>0</v>
      </c>
      <c r="I71" s="54">
        <f>'розрахунки з бюджетом'!I21</f>
        <v>0</v>
      </c>
      <c r="J71" s="54">
        <f>'розрахунки з бюджетом'!J21</f>
        <v>-1291.3417671889677</v>
      </c>
      <c r="K71" s="204" t="s">
        <v>0</v>
      </c>
    </row>
    <row r="72" spans="1:11" x14ac:dyDescent="0.2">
      <c r="A72" s="34" t="s">
        <v>53</v>
      </c>
      <c r="B72" s="29">
        <v>1181</v>
      </c>
      <c r="C72" s="51">
        <v>0</v>
      </c>
      <c r="D72" s="156">
        <v>0</v>
      </c>
      <c r="E72" s="150">
        <f t="shared" si="19"/>
        <v>0</v>
      </c>
      <c r="F72" s="261">
        <f t="shared" si="7"/>
        <v>0</v>
      </c>
      <c r="G72" s="54">
        <v>0</v>
      </c>
      <c r="H72" s="54">
        <v>0</v>
      </c>
      <c r="I72" s="54">
        <v>0</v>
      </c>
      <c r="J72" s="54">
        <v>0</v>
      </c>
      <c r="K72" s="204" t="s">
        <v>0</v>
      </c>
    </row>
    <row r="73" spans="1:11" ht="25.5" x14ac:dyDescent="0.2">
      <c r="A73" s="34" t="s">
        <v>54</v>
      </c>
      <c r="B73" s="29">
        <v>1190</v>
      </c>
      <c r="C73" s="56">
        <v>0</v>
      </c>
      <c r="D73" s="55">
        <v>0</v>
      </c>
      <c r="E73" s="150">
        <f t="shared" si="19"/>
        <v>0</v>
      </c>
      <c r="F73" s="261">
        <f t="shared" si="7"/>
        <v>0</v>
      </c>
      <c r="G73" s="54">
        <v>0</v>
      </c>
      <c r="H73" s="54">
        <v>0</v>
      </c>
      <c r="I73" s="54">
        <v>0</v>
      </c>
      <c r="J73" s="54">
        <v>0</v>
      </c>
      <c r="K73" s="204" t="s">
        <v>0</v>
      </c>
    </row>
    <row r="74" spans="1:11" ht="25.5" x14ac:dyDescent="0.2">
      <c r="A74" s="34" t="s">
        <v>55</v>
      </c>
      <c r="B74" s="29">
        <v>1191</v>
      </c>
      <c r="C74" s="56">
        <v>0</v>
      </c>
      <c r="D74" s="55">
        <v>0</v>
      </c>
      <c r="E74" s="150">
        <f t="shared" si="19"/>
        <v>0</v>
      </c>
      <c r="F74" s="261">
        <f t="shared" si="7"/>
        <v>0</v>
      </c>
      <c r="G74" s="54">
        <v>0</v>
      </c>
      <c r="H74" s="54">
        <v>0</v>
      </c>
      <c r="I74" s="54">
        <v>0</v>
      </c>
      <c r="J74" s="54">
        <v>0</v>
      </c>
      <c r="K74" s="204" t="s">
        <v>0</v>
      </c>
    </row>
    <row r="75" spans="1:11" s="68" customFormat="1" ht="25.5" x14ac:dyDescent="0.2">
      <c r="A75" s="66" t="s">
        <v>209</v>
      </c>
      <c r="B75" s="67">
        <v>1200</v>
      </c>
      <c r="C75" s="65">
        <f>C77</f>
        <v>-980.79999999999563</v>
      </c>
      <c r="D75" s="65">
        <v>12.6</v>
      </c>
      <c r="E75" s="150">
        <f>D75</f>
        <v>12.6</v>
      </c>
      <c r="F75" s="202">
        <f>F76</f>
        <v>-5882.7791616386294</v>
      </c>
      <c r="G75" s="202">
        <f t="shared" ref="G75:J75" si="20">G76</f>
        <v>-1227.3490743265429</v>
      </c>
      <c r="H75" s="202">
        <f>H77</f>
        <v>-3096.2815201490257</v>
      </c>
      <c r="I75" s="202">
        <f>I77</f>
        <v>-2240.4555783999999</v>
      </c>
      <c r="J75" s="202">
        <f t="shared" si="20"/>
        <v>-610.03475595202872</v>
      </c>
      <c r="K75" s="202" t="s">
        <v>0</v>
      </c>
    </row>
    <row r="76" spans="1:11" x14ac:dyDescent="0.2">
      <c r="A76" s="34" t="s">
        <v>210</v>
      </c>
      <c r="B76" s="29">
        <v>1201</v>
      </c>
      <c r="C76" s="56">
        <v>0</v>
      </c>
      <c r="D76" s="55">
        <v>12.6</v>
      </c>
      <c r="E76" s="150">
        <f>D76</f>
        <v>12.6</v>
      </c>
      <c r="F76" s="261">
        <f>$F$78-$F$79-$F$71</f>
        <v>-5882.7791616386294</v>
      </c>
      <c r="G76" s="54">
        <f>G78-G79</f>
        <v>-1227.3490743265429</v>
      </c>
      <c r="H76" s="54">
        <v>0</v>
      </c>
      <c r="I76" s="54">
        <v>0</v>
      </c>
      <c r="J76" s="54">
        <f>J78-J79</f>
        <v>-610.03475595202872</v>
      </c>
      <c r="K76" s="204" t="s">
        <v>0</v>
      </c>
    </row>
    <row r="77" spans="1:11" x14ac:dyDescent="0.2">
      <c r="A77" s="34" t="s">
        <v>211</v>
      </c>
      <c r="B77" s="29">
        <v>1202</v>
      </c>
      <c r="C77" s="56">
        <f>C78-C79-C71</f>
        <v>-980.79999999999563</v>
      </c>
      <c r="D77" s="55">
        <v>0</v>
      </c>
      <c r="E77" s="150">
        <f t="shared" si="19"/>
        <v>0</v>
      </c>
      <c r="F77" s="261">
        <v>0</v>
      </c>
      <c r="G77" s="54">
        <v>0</v>
      </c>
      <c r="H77" s="54">
        <f>H78-H79</f>
        <v>-3096.2815201490257</v>
      </c>
      <c r="I77" s="54">
        <f>I78-I79</f>
        <v>-2240.4555783999999</v>
      </c>
      <c r="J77" s="54">
        <v>0</v>
      </c>
      <c r="K77" s="204" t="s">
        <v>0</v>
      </c>
    </row>
    <row r="78" spans="1:11" s="64" customFormat="1" x14ac:dyDescent="0.2">
      <c r="A78" s="52" t="s">
        <v>212</v>
      </c>
      <c r="B78" s="61">
        <v>1210</v>
      </c>
      <c r="C78" s="59">
        <f>C6+C48+C64</f>
        <v>17041.3</v>
      </c>
      <c r="D78" s="65">
        <f t="shared" ref="D78" si="21">D6+D48+D64</f>
        <v>24814.9</v>
      </c>
      <c r="E78" s="150">
        <f t="shared" si="19"/>
        <v>24814.9</v>
      </c>
      <c r="F78" s="202">
        <f>F6+F48+F64</f>
        <v>19126.902200000004</v>
      </c>
      <c r="G78" s="202">
        <f>G6+G48+G64</f>
        <v>9619.9905500000004</v>
      </c>
      <c r="H78" s="202">
        <f t="shared" ref="H78:J78" si="22">H6+H48+H64</f>
        <v>162.79395</v>
      </c>
      <c r="I78" s="202">
        <f t="shared" si="22"/>
        <v>122.91515000000001</v>
      </c>
      <c r="J78" s="202">
        <f t="shared" si="22"/>
        <v>9221.2025500000018</v>
      </c>
      <c r="K78" s="203" t="s">
        <v>0</v>
      </c>
    </row>
    <row r="79" spans="1:11" s="64" customFormat="1" x14ac:dyDescent="0.2">
      <c r="A79" s="52" t="s">
        <v>213</v>
      </c>
      <c r="B79" s="61">
        <v>1220</v>
      </c>
      <c r="C79" s="59">
        <f>C7+C17+C40+C52</f>
        <v>18022.099999999995</v>
      </c>
      <c r="D79" s="65">
        <f t="shared" ref="D79" si="23">D7+D17+D40+D52</f>
        <v>24774.7</v>
      </c>
      <c r="E79" s="150">
        <f t="shared" si="19"/>
        <v>24774.7</v>
      </c>
      <c r="F79" s="202">
        <f>F7+F17+F40+F52</f>
        <v>26301.023128827601</v>
      </c>
      <c r="G79" s="202">
        <f t="shared" ref="G79:J79" si="24">G7+G17+G40+G52</f>
        <v>10847.339624326543</v>
      </c>
      <c r="H79" s="202">
        <f t="shared" si="24"/>
        <v>3259.0754701490255</v>
      </c>
      <c r="I79" s="202">
        <f t="shared" si="24"/>
        <v>2363.3707283999997</v>
      </c>
      <c r="J79" s="202">
        <f t="shared" si="24"/>
        <v>9831.2373059520305</v>
      </c>
      <c r="K79" s="203" t="s">
        <v>0</v>
      </c>
    </row>
    <row r="80" spans="1:11" x14ac:dyDescent="0.2">
      <c r="A80" s="34" t="s">
        <v>214</v>
      </c>
      <c r="B80" s="29">
        <v>1230</v>
      </c>
      <c r="C80" s="33">
        <v>0</v>
      </c>
      <c r="D80" s="150">
        <v>0</v>
      </c>
      <c r="E80" s="150">
        <f t="shared" si="19"/>
        <v>0</v>
      </c>
      <c r="F80" s="261">
        <f t="shared" si="7"/>
        <v>0</v>
      </c>
      <c r="G80" s="54">
        <v>0</v>
      </c>
      <c r="H80" s="54">
        <v>0</v>
      </c>
      <c r="I80" s="54">
        <v>0</v>
      </c>
      <c r="J80" s="54">
        <v>0</v>
      </c>
      <c r="K80" s="204" t="s">
        <v>0</v>
      </c>
    </row>
    <row r="81" spans="1:11" x14ac:dyDescent="0.2">
      <c r="A81" s="31" t="s">
        <v>215</v>
      </c>
      <c r="B81" s="283"/>
      <c r="C81" s="283"/>
      <c r="D81" s="283"/>
      <c r="E81" s="283"/>
      <c r="F81" s="283"/>
      <c r="G81" s="283"/>
      <c r="H81" s="283"/>
      <c r="I81" s="283"/>
      <c r="J81" s="283"/>
      <c r="K81" s="208"/>
    </row>
    <row r="82" spans="1:11" ht="25.5" x14ac:dyDescent="0.2">
      <c r="A82" s="34" t="s">
        <v>216</v>
      </c>
      <c r="B82" s="29">
        <v>1300</v>
      </c>
      <c r="C82" s="51">
        <f>C59</f>
        <v>-5007.699999999998</v>
      </c>
      <c r="D82" s="156">
        <f>D59</f>
        <v>40.200000000001907</v>
      </c>
      <c r="E82" s="156">
        <f>E59</f>
        <v>40.200000000001907</v>
      </c>
      <c r="F82" s="261">
        <f>F59</f>
        <v>-7174.1209288275977</v>
      </c>
      <c r="G82" s="54">
        <f>G59</f>
        <v>-1227.3490743265431</v>
      </c>
      <c r="H82" s="54">
        <f t="shared" ref="H82:J82" si="25">H59</f>
        <v>-3096.2815201490257</v>
      </c>
      <c r="I82" s="54">
        <f t="shared" si="25"/>
        <v>-2240.4555783999995</v>
      </c>
      <c r="J82" s="54">
        <f t="shared" si="25"/>
        <v>-610.03475595202895</v>
      </c>
      <c r="K82" s="204" t="s">
        <v>0</v>
      </c>
    </row>
    <row r="83" spans="1:11" x14ac:dyDescent="0.2">
      <c r="A83" s="34" t="s">
        <v>217</v>
      </c>
      <c r="B83" s="29">
        <v>1301</v>
      </c>
      <c r="C83" s="51">
        <f>C95</f>
        <v>991.4</v>
      </c>
      <c r="D83" s="156">
        <f>D95</f>
        <v>456</v>
      </c>
      <c r="E83" s="156">
        <f>E95</f>
        <v>456</v>
      </c>
      <c r="F83" s="261">
        <f t="shared" ref="F83:J83" si="26">F95</f>
        <v>1473.2</v>
      </c>
      <c r="G83" s="54">
        <f>G95</f>
        <v>368.3</v>
      </c>
      <c r="H83" s="54">
        <f t="shared" si="26"/>
        <v>368.3</v>
      </c>
      <c r="I83" s="54">
        <f t="shared" si="26"/>
        <v>368.3</v>
      </c>
      <c r="J83" s="54">
        <f t="shared" si="26"/>
        <v>368.3</v>
      </c>
      <c r="K83" s="204" t="s">
        <v>0</v>
      </c>
    </row>
    <row r="84" spans="1:11" ht="25.5" x14ac:dyDescent="0.2">
      <c r="A84" s="34" t="s">
        <v>218</v>
      </c>
      <c r="B84" s="29">
        <v>1302</v>
      </c>
      <c r="C84" s="51">
        <f t="shared" ref="C84:D84" si="27">C49</f>
        <v>0</v>
      </c>
      <c r="D84" s="156">
        <f t="shared" si="27"/>
        <v>0</v>
      </c>
      <c r="E84" s="156">
        <f t="shared" ref="E84" si="28">E49</f>
        <v>0</v>
      </c>
      <c r="F84" s="261">
        <f t="shared" ref="F84:J84" si="29">F49</f>
        <v>0</v>
      </c>
      <c r="G84" s="54">
        <f t="shared" si="29"/>
        <v>0</v>
      </c>
      <c r="H84" s="54">
        <f t="shared" si="29"/>
        <v>0</v>
      </c>
      <c r="I84" s="54">
        <f t="shared" si="29"/>
        <v>0</v>
      </c>
      <c r="J84" s="54">
        <f t="shared" si="29"/>
        <v>0</v>
      </c>
      <c r="K84" s="204" t="s">
        <v>0</v>
      </c>
    </row>
    <row r="85" spans="1:11" ht="25.5" x14ac:dyDescent="0.2">
      <c r="A85" s="34" t="s">
        <v>219</v>
      </c>
      <c r="B85" s="29">
        <v>1303</v>
      </c>
      <c r="C85" s="51">
        <f t="shared" ref="C85:D85" si="30">C53</f>
        <v>0</v>
      </c>
      <c r="D85" s="156">
        <f t="shared" si="30"/>
        <v>0</v>
      </c>
      <c r="E85" s="156">
        <f t="shared" ref="E85" si="31">E53</f>
        <v>0</v>
      </c>
      <c r="F85" s="261">
        <f t="shared" ref="F85:J85" si="32">F53</f>
        <v>0</v>
      </c>
      <c r="G85" s="54">
        <f t="shared" si="32"/>
        <v>0</v>
      </c>
      <c r="H85" s="54">
        <f t="shared" si="32"/>
        <v>0</v>
      </c>
      <c r="I85" s="54">
        <f t="shared" si="32"/>
        <v>0</v>
      </c>
      <c r="J85" s="54">
        <f t="shared" si="32"/>
        <v>0</v>
      </c>
      <c r="K85" s="204" t="s">
        <v>0</v>
      </c>
    </row>
    <row r="86" spans="1:11" ht="25.5" x14ac:dyDescent="0.2">
      <c r="A86" s="34" t="s">
        <v>220</v>
      </c>
      <c r="B86" s="29">
        <v>1304</v>
      </c>
      <c r="C86" s="51">
        <f t="shared" ref="C86:D86" si="33">C50</f>
        <v>0</v>
      </c>
      <c r="D86" s="156">
        <f t="shared" si="33"/>
        <v>0</v>
      </c>
      <c r="E86" s="156">
        <f t="shared" ref="E86" si="34">E50</f>
        <v>0</v>
      </c>
      <c r="F86" s="261">
        <f t="shared" ref="F86:J86" si="35">F50</f>
        <v>0</v>
      </c>
      <c r="G86" s="54">
        <f t="shared" si="35"/>
        <v>0</v>
      </c>
      <c r="H86" s="54">
        <f t="shared" si="35"/>
        <v>0</v>
      </c>
      <c r="I86" s="54">
        <f t="shared" si="35"/>
        <v>0</v>
      </c>
      <c r="J86" s="54">
        <f t="shared" si="35"/>
        <v>0</v>
      </c>
      <c r="K86" s="204" t="s">
        <v>0</v>
      </c>
    </row>
    <row r="87" spans="1:11" ht="25.5" x14ac:dyDescent="0.2">
      <c r="A87" s="34" t="s">
        <v>221</v>
      </c>
      <c r="B87" s="29">
        <v>1305</v>
      </c>
      <c r="C87" s="51">
        <f t="shared" ref="C87:D87" si="36">C54</f>
        <v>0</v>
      </c>
      <c r="D87" s="156">
        <f t="shared" si="36"/>
        <v>0</v>
      </c>
      <c r="E87" s="156">
        <f t="shared" ref="E87" si="37">E54</f>
        <v>0</v>
      </c>
      <c r="F87" s="261">
        <f t="shared" ref="F87:J87" si="38">F54</f>
        <v>0</v>
      </c>
      <c r="G87" s="54">
        <f t="shared" si="38"/>
        <v>0</v>
      </c>
      <c r="H87" s="54">
        <f t="shared" si="38"/>
        <v>0</v>
      </c>
      <c r="I87" s="54">
        <f t="shared" si="38"/>
        <v>0</v>
      </c>
      <c r="J87" s="54">
        <f t="shared" si="38"/>
        <v>0</v>
      </c>
      <c r="K87" s="204" t="s">
        <v>0</v>
      </c>
    </row>
    <row r="88" spans="1:11" s="64" customFormat="1" x14ac:dyDescent="0.2">
      <c r="A88" s="52" t="s">
        <v>43</v>
      </c>
      <c r="B88" s="61">
        <v>1310</v>
      </c>
      <c r="C88" s="59">
        <f>C82+C83-C84+C85-C86+C87</f>
        <v>-4016.2999999999979</v>
      </c>
      <c r="D88" s="65">
        <f>D82+D83-D84+D85-D86+D87</f>
        <v>496.20000000000192</v>
      </c>
      <c r="E88" s="65">
        <f>E82+E83-E84+E85-E86+E87</f>
        <v>496.20000000000192</v>
      </c>
      <c r="F88" s="202">
        <f>F82+F83-F84+F85-F86+F87</f>
        <v>-5700.9209288275979</v>
      </c>
      <c r="G88" s="202">
        <f t="shared" ref="G88:J88" si="39">G82+G83-G84+G85-G86+G87</f>
        <v>-859.04907432654318</v>
      </c>
      <c r="H88" s="202">
        <f t="shared" si="39"/>
        <v>-2727.9815201490255</v>
      </c>
      <c r="I88" s="202">
        <f t="shared" si="39"/>
        <v>-1872.1555783999995</v>
      </c>
      <c r="J88" s="202">
        <f t="shared" si="39"/>
        <v>-241.73475595202893</v>
      </c>
      <c r="K88" s="203" t="s">
        <v>0</v>
      </c>
    </row>
    <row r="89" spans="1:11" ht="15" customHeight="1" x14ac:dyDescent="0.2">
      <c r="A89" s="31" t="s">
        <v>222</v>
      </c>
      <c r="B89" s="279"/>
      <c r="C89" s="279"/>
      <c r="D89" s="279"/>
      <c r="E89" s="279"/>
      <c r="F89" s="279"/>
      <c r="G89" s="279"/>
      <c r="H89" s="279"/>
      <c r="I89" s="279"/>
      <c r="J89" s="279"/>
      <c r="K89" s="208"/>
    </row>
    <row r="90" spans="1:11" x14ac:dyDescent="0.2">
      <c r="A90" s="34" t="s">
        <v>223</v>
      </c>
      <c r="B90" s="29">
        <v>1400</v>
      </c>
      <c r="C90" s="51">
        <f>C91+C92</f>
        <v>10050.699999999999</v>
      </c>
      <c r="D90" s="156">
        <f>D91+D92</f>
        <v>15058.5</v>
      </c>
      <c r="E90" s="156">
        <f>D90</f>
        <v>15058.5</v>
      </c>
      <c r="F90" s="261">
        <f>F91+F92</f>
        <v>15052.269675227599</v>
      </c>
      <c r="G90" s="54">
        <f t="shared" ref="G90:J90" si="40">G91+G92</f>
        <v>7330.8045759265442</v>
      </c>
      <c r="H90" s="54">
        <f t="shared" si="40"/>
        <v>927.28489674902607</v>
      </c>
      <c r="I90" s="54">
        <f t="shared" si="40"/>
        <v>240.52904999999998</v>
      </c>
      <c r="J90" s="54">
        <f t="shared" si="40"/>
        <v>6553.65115255203</v>
      </c>
      <c r="K90" s="204" t="s">
        <v>0</v>
      </c>
    </row>
    <row r="91" spans="1:11" x14ac:dyDescent="0.2">
      <c r="A91" s="34" t="s">
        <v>224</v>
      </c>
      <c r="B91" s="29">
        <v>1401</v>
      </c>
      <c r="C91" s="51">
        <f>C8</f>
        <v>604.9</v>
      </c>
      <c r="D91" s="156">
        <f>D8</f>
        <v>201.4</v>
      </c>
      <c r="E91" s="156">
        <f t="shared" ref="E91:E97" si="41">D91</f>
        <v>201.4</v>
      </c>
      <c r="F91" s="261">
        <f>F8</f>
        <v>218.11619999999999</v>
      </c>
      <c r="G91" s="54">
        <f t="shared" ref="G91:J91" si="42">G8</f>
        <v>54.529049999999998</v>
      </c>
      <c r="H91" s="54">
        <f t="shared" si="42"/>
        <v>54.529049999999998</v>
      </c>
      <c r="I91" s="54">
        <f t="shared" si="42"/>
        <v>54.529049999999998</v>
      </c>
      <c r="J91" s="54">
        <f t="shared" si="42"/>
        <v>54.529049999999998</v>
      </c>
      <c r="K91" s="204" t="s">
        <v>0</v>
      </c>
    </row>
    <row r="92" spans="1:11" x14ac:dyDescent="0.2">
      <c r="A92" s="34" t="s">
        <v>225</v>
      </c>
      <c r="B92" s="29">
        <v>1402</v>
      </c>
      <c r="C92" s="51">
        <f>C9+C10</f>
        <v>9445.7999999999993</v>
      </c>
      <c r="D92" s="156">
        <f>D9+D10</f>
        <v>14857.1</v>
      </c>
      <c r="E92" s="156">
        <f t="shared" si="41"/>
        <v>14857.1</v>
      </c>
      <c r="F92" s="261">
        <f>F9+F10</f>
        <v>14834.153475227598</v>
      </c>
      <c r="G92" s="54">
        <f t="shared" ref="G92:J92" si="43">G9+G10</f>
        <v>7276.2755259265441</v>
      </c>
      <c r="H92" s="54">
        <f t="shared" si="43"/>
        <v>872.75584674902609</v>
      </c>
      <c r="I92" s="54">
        <f t="shared" si="43"/>
        <v>186</v>
      </c>
      <c r="J92" s="54">
        <f t="shared" si="43"/>
        <v>6499.1221025520299</v>
      </c>
      <c r="K92" s="204" t="s">
        <v>0</v>
      </c>
    </row>
    <row r="93" spans="1:11" x14ac:dyDescent="0.2">
      <c r="A93" s="34" t="s">
        <v>117</v>
      </c>
      <c r="B93" s="29">
        <v>1410</v>
      </c>
      <c r="C93" s="51">
        <f>C11+C25</f>
        <v>5441.6</v>
      </c>
      <c r="D93" s="156">
        <f>D11+D25</f>
        <v>7022.5</v>
      </c>
      <c r="E93" s="156">
        <f t="shared" si="41"/>
        <v>7022.5</v>
      </c>
      <c r="F93" s="261">
        <f>F11+F25</f>
        <v>7150.6318799999999</v>
      </c>
      <c r="G93" s="54">
        <f>G11+G25</f>
        <v>2375.23722</v>
      </c>
      <c r="H93" s="54">
        <f t="shared" ref="H93:J93" si="44">H11+H25</f>
        <v>1395.9384700000001</v>
      </c>
      <c r="I93" s="54">
        <f t="shared" si="44"/>
        <v>1200.07872</v>
      </c>
      <c r="J93" s="54">
        <f t="shared" si="44"/>
        <v>2179.3774699999999</v>
      </c>
      <c r="K93" s="204" t="s">
        <v>0</v>
      </c>
    </row>
    <row r="94" spans="1:11" x14ac:dyDescent="0.2">
      <c r="A94" s="34" t="s">
        <v>144</v>
      </c>
      <c r="B94" s="29">
        <v>1420</v>
      </c>
      <c r="C94" s="51">
        <f>C26+C12</f>
        <v>1180.5999999999999</v>
      </c>
      <c r="D94" s="156">
        <f>D26+D12</f>
        <v>1545</v>
      </c>
      <c r="E94" s="156">
        <f t="shared" si="41"/>
        <v>1545</v>
      </c>
      <c r="F94" s="261">
        <f>F26+F12</f>
        <v>1573.1390136</v>
      </c>
      <c r="G94" s="54">
        <f t="shared" ref="G94:J94" si="45">G26+G12</f>
        <v>522.55218839999998</v>
      </c>
      <c r="H94" s="54">
        <f t="shared" si="45"/>
        <v>307.1064634</v>
      </c>
      <c r="I94" s="54">
        <f t="shared" si="45"/>
        <v>264.01731840000002</v>
      </c>
      <c r="J94" s="54">
        <f t="shared" si="45"/>
        <v>479.4630434</v>
      </c>
      <c r="K94" s="204" t="s">
        <v>0</v>
      </c>
    </row>
    <row r="95" spans="1:11" x14ac:dyDescent="0.2">
      <c r="A95" s="34" t="s">
        <v>226</v>
      </c>
      <c r="B95" s="29">
        <v>1430</v>
      </c>
      <c r="C95" s="51">
        <f>C14+C27</f>
        <v>991.4</v>
      </c>
      <c r="D95" s="156">
        <f>D14+D27</f>
        <v>456</v>
      </c>
      <c r="E95" s="156">
        <f t="shared" si="41"/>
        <v>456</v>
      </c>
      <c r="F95" s="261">
        <f>F14+F27</f>
        <v>1473.2</v>
      </c>
      <c r="G95" s="54">
        <f t="shared" ref="G95:J95" si="46">G14+G27</f>
        <v>368.3</v>
      </c>
      <c r="H95" s="54">
        <f t="shared" si="46"/>
        <v>368.3</v>
      </c>
      <c r="I95" s="54">
        <f t="shared" si="46"/>
        <v>368.3</v>
      </c>
      <c r="J95" s="54">
        <f t="shared" si="46"/>
        <v>368.3</v>
      </c>
      <c r="K95" s="204" t="s">
        <v>0</v>
      </c>
    </row>
    <row r="96" spans="1:11" x14ac:dyDescent="0.2">
      <c r="A96" s="34" t="s">
        <v>41</v>
      </c>
      <c r="B96" s="29">
        <v>1440</v>
      </c>
      <c r="C96" s="51">
        <f>C52+C39+C24+C19+C13+C31+C33+C36+C34+C38+C37+C35+C32+C30+C29+C28</f>
        <v>357.79999999999995</v>
      </c>
      <c r="D96" s="156">
        <f>D52+D39+D24+D19+D13+D31+D33+D36</f>
        <v>692.7</v>
      </c>
      <c r="E96" s="156">
        <f>D96</f>
        <v>692.7</v>
      </c>
      <c r="F96" s="261">
        <f>F52+F39+F24+F19+F13+F31+F33+F36</f>
        <v>1051.7825600000001</v>
      </c>
      <c r="G96" s="54">
        <f t="shared" ref="G96:J96" si="47">G52+G39+G24+G19+G13+G31+G33+G36</f>
        <v>250.44564</v>
      </c>
      <c r="H96" s="54">
        <f t="shared" si="47"/>
        <v>260.44564000000003</v>
      </c>
      <c r="I96" s="54">
        <f t="shared" si="47"/>
        <v>290.44564000000003</v>
      </c>
      <c r="J96" s="54">
        <f t="shared" si="47"/>
        <v>250.44564</v>
      </c>
      <c r="K96" s="204" t="s">
        <v>0</v>
      </c>
    </row>
    <row r="97" spans="1:11" s="63" customFormat="1" x14ac:dyDescent="0.2">
      <c r="A97" s="62" t="s">
        <v>227</v>
      </c>
      <c r="B97" s="60">
        <v>1450</v>
      </c>
      <c r="C97" s="56">
        <f>C90+C93+C94+C95+C96</f>
        <v>18022.099999999999</v>
      </c>
      <c r="D97" s="55">
        <f>D90+D93+D94+D95+D96</f>
        <v>24774.7</v>
      </c>
      <c r="E97" s="156">
        <f t="shared" si="41"/>
        <v>24774.7</v>
      </c>
      <c r="F97" s="261">
        <f>F90+F93+F94+F95+F96</f>
        <v>26301.023128827601</v>
      </c>
      <c r="G97" s="54">
        <f t="shared" ref="G97:J97" si="48">G90+G93+G94+G95+G96</f>
        <v>10847.339624326543</v>
      </c>
      <c r="H97" s="54">
        <f t="shared" si="48"/>
        <v>3259.0754701490264</v>
      </c>
      <c r="I97" s="54">
        <f t="shared" si="48"/>
        <v>2363.3707284000002</v>
      </c>
      <c r="J97" s="54">
        <f t="shared" si="48"/>
        <v>9831.2373059520287</v>
      </c>
      <c r="K97" s="204" t="s">
        <v>0</v>
      </c>
    </row>
    <row r="104" spans="1:11" ht="15.75" customHeight="1" x14ac:dyDescent="0.2"/>
    <row r="155" ht="15.75" customHeight="1" x14ac:dyDescent="0.2"/>
    <row r="242" ht="15.75" customHeight="1" x14ac:dyDescent="0.2"/>
    <row r="262" ht="15.75" customHeight="1" x14ac:dyDescent="0.2"/>
    <row r="276" ht="283.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325" ht="15.75" customHeight="1" x14ac:dyDescent="0.2"/>
    <row r="328" ht="15.75" customHeight="1" x14ac:dyDescent="0.2"/>
    <row r="339" ht="15.75" customHeight="1" x14ac:dyDescent="0.2"/>
  </sheetData>
  <mergeCells count="12">
    <mergeCell ref="B89:J89"/>
    <mergeCell ref="A1:K1"/>
    <mergeCell ref="G2:J2"/>
    <mergeCell ref="F2:F3"/>
    <mergeCell ref="E2:E3"/>
    <mergeCell ref="D2:D3"/>
    <mergeCell ref="C2:C3"/>
    <mergeCell ref="B81:J81"/>
    <mergeCell ref="B2:B3"/>
    <mergeCell ref="A2:A3"/>
    <mergeCell ref="K2:K3"/>
    <mergeCell ref="A5:K5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zoomScale="120" zoomScaleNormal="120" workbookViewId="0">
      <selection activeCell="P18" sqref="P18"/>
    </sheetView>
  </sheetViews>
  <sheetFormatPr defaultRowHeight="12.75" x14ac:dyDescent="0.2"/>
  <cols>
    <col min="1" max="1" width="40.5703125" style="35" customWidth="1"/>
    <col min="2" max="2" width="8.85546875" style="27" bestFit="1" customWidth="1"/>
    <col min="3" max="3" width="9.28515625" style="27" bestFit="1" customWidth="1"/>
    <col min="4" max="5" width="9.28515625" style="122" customWidth="1"/>
    <col min="6" max="6" width="11.42578125" style="210" bestFit="1" customWidth="1"/>
    <col min="7" max="10" width="11" style="210" bestFit="1" customWidth="1"/>
    <col min="11" max="16384" width="9.140625" style="27"/>
  </cols>
  <sheetData>
    <row r="1" spans="1:10" ht="50.1" customHeight="1" x14ac:dyDescent="0.2">
      <c r="A1" s="290" t="s">
        <v>60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0" ht="51" customHeight="1" x14ac:dyDescent="0.2">
      <c r="A2" s="295" t="s">
        <v>22</v>
      </c>
      <c r="B2" s="297" t="s">
        <v>23</v>
      </c>
      <c r="C2" s="295" t="s">
        <v>24</v>
      </c>
      <c r="D2" s="293" t="s">
        <v>25</v>
      </c>
      <c r="E2" s="293" t="s">
        <v>26</v>
      </c>
      <c r="F2" s="291" t="s">
        <v>125</v>
      </c>
      <c r="G2" s="285" t="s">
        <v>126</v>
      </c>
      <c r="H2" s="285"/>
      <c r="I2" s="285"/>
      <c r="J2" s="285"/>
    </row>
    <row r="3" spans="1:10" x14ac:dyDescent="0.2">
      <c r="A3" s="296"/>
      <c r="B3" s="298"/>
      <c r="C3" s="296"/>
      <c r="D3" s="294"/>
      <c r="E3" s="294"/>
      <c r="F3" s="292"/>
      <c r="G3" s="204" t="s">
        <v>128</v>
      </c>
      <c r="H3" s="204" t="s">
        <v>129</v>
      </c>
      <c r="I3" s="204" t="s">
        <v>130</v>
      </c>
      <c r="J3" s="204" t="s">
        <v>131</v>
      </c>
    </row>
    <row r="4" spans="1:10" s="30" customFormat="1" x14ac:dyDescent="0.2">
      <c r="A4" s="29">
        <v>1</v>
      </c>
      <c r="B4" s="29">
        <v>2</v>
      </c>
      <c r="C4" s="29">
        <v>3</v>
      </c>
      <c r="D4" s="120">
        <v>4</v>
      </c>
      <c r="E4" s="120">
        <v>5</v>
      </c>
      <c r="F4" s="201">
        <v>6</v>
      </c>
      <c r="G4" s="201">
        <v>7</v>
      </c>
      <c r="H4" s="201">
        <v>8</v>
      </c>
      <c r="I4" s="201">
        <v>9</v>
      </c>
      <c r="J4" s="201">
        <v>10</v>
      </c>
    </row>
    <row r="5" spans="1:10" x14ac:dyDescent="0.2">
      <c r="A5" s="287" t="s">
        <v>228</v>
      </c>
      <c r="B5" s="288"/>
      <c r="C5" s="288"/>
      <c r="D5" s="288"/>
      <c r="E5" s="288"/>
      <c r="F5" s="288"/>
      <c r="G5" s="288"/>
      <c r="H5" s="288"/>
      <c r="I5" s="288"/>
      <c r="J5" s="289"/>
    </row>
    <row r="6" spans="1:10" x14ac:dyDescent="0.2">
      <c r="A6" s="34" t="s">
        <v>57</v>
      </c>
      <c r="B6" s="29">
        <v>1200</v>
      </c>
      <c r="C6" s="28">
        <f>'формування фін результатів'!C75</f>
        <v>-980.79999999999563</v>
      </c>
      <c r="D6" s="121">
        <v>12.6</v>
      </c>
      <c r="E6" s="121">
        <f>D6</f>
        <v>12.6</v>
      </c>
      <c r="F6" s="204">
        <f>'формування фін результатів'!F75</f>
        <v>-5882.7791616386294</v>
      </c>
      <c r="G6" s="204">
        <f>'формування фін результатів'!G75</f>
        <v>-1227.3490743265429</v>
      </c>
      <c r="H6" s="204">
        <f>'формування фін результатів'!H75</f>
        <v>-3096.2815201490257</v>
      </c>
      <c r="I6" s="204">
        <f>'формування фін результатів'!I75</f>
        <v>-2240.4555783999999</v>
      </c>
      <c r="J6" s="204">
        <f>'формування фін результатів'!J75</f>
        <v>-610.03475595202872</v>
      </c>
    </row>
    <row r="7" spans="1:10" ht="38.25" x14ac:dyDescent="0.2">
      <c r="A7" s="34" t="s">
        <v>229</v>
      </c>
      <c r="B7" s="29">
        <v>2000</v>
      </c>
      <c r="C7" s="28">
        <v>-1998.4</v>
      </c>
      <c r="D7" s="135">
        <v>1672.5</v>
      </c>
      <c r="E7" s="135">
        <f t="shared" ref="E7:E17" si="0">D7</f>
        <v>1672.5</v>
      </c>
      <c r="F7" s="204">
        <f>D18</f>
        <v>1685.1</v>
      </c>
      <c r="G7" s="204">
        <f>D18</f>
        <v>1685.1</v>
      </c>
      <c r="H7" s="204">
        <f>G18</f>
        <v>457.750925673457</v>
      </c>
      <c r="I7" s="204">
        <f>H18</f>
        <v>-2638.5305944755687</v>
      </c>
      <c r="J7" s="204">
        <f>I18</f>
        <v>-4878.9861728755686</v>
      </c>
    </row>
    <row r="8" spans="1:10" ht="30" customHeight="1" x14ac:dyDescent="0.2">
      <c r="A8" s="34" t="s">
        <v>230</v>
      </c>
      <c r="B8" s="29">
        <v>2010</v>
      </c>
      <c r="C8" s="28">
        <v>0</v>
      </c>
      <c r="D8" s="121">
        <f t="shared" ref="D8:D17" si="1">F8</f>
        <v>0</v>
      </c>
      <c r="E8" s="135">
        <f t="shared" si="0"/>
        <v>0</v>
      </c>
      <c r="F8" s="204">
        <v>0</v>
      </c>
      <c r="G8" s="204">
        <v>0</v>
      </c>
      <c r="H8" s="204">
        <v>0</v>
      </c>
      <c r="I8" s="204">
        <v>0</v>
      </c>
      <c r="J8" s="204">
        <v>0</v>
      </c>
    </row>
    <row r="9" spans="1:10" ht="30" customHeight="1" x14ac:dyDescent="0.2">
      <c r="A9" s="34" t="s">
        <v>231</v>
      </c>
      <c r="B9" s="29">
        <v>2011</v>
      </c>
      <c r="C9" s="51">
        <v>0</v>
      </c>
      <c r="D9" s="121">
        <f t="shared" si="1"/>
        <v>0</v>
      </c>
      <c r="E9" s="135">
        <f t="shared" si="0"/>
        <v>0</v>
      </c>
      <c r="F9" s="204">
        <v>0</v>
      </c>
      <c r="G9" s="204">
        <v>0</v>
      </c>
      <c r="H9" s="204">
        <v>0</v>
      </c>
      <c r="I9" s="204">
        <v>0</v>
      </c>
      <c r="J9" s="204">
        <v>0</v>
      </c>
    </row>
    <row r="10" spans="1:10" ht="38.25" x14ac:dyDescent="0.2">
      <c r="A10" s="34" t="s">
        <v>232</v>
      </c>
      <c r="B10" s="29">
        <v>2012</v>
      </c>
      <c r="C10" s="51">
        <v>0</v>
      </c>
      <c r="D10" s="121">
        <f t="shared" si="1"/>
        <v>0</v>
      </c>
      <c r="E10" s="135">
        <f t="shared" si="0"/>
        <v>0</v>
      </c>
      <c r="F10" s="204">
        <v>0</v>
      </c>
      <c r="G10" s="204">
        <v>0</v>
      </c>
      <c r="H10" s="204">
        <v>0</v>
      </c>
      <c r="I10" s="204">
        <v>0</v>
      </c>
      <c r="J10" s="204">
        <v>0</v>
      </c>
    </row>
    <row r="11" spans="1:10" x14ac:dyDescent="0.2">
      <c r="A11" s="34" t="s">
        <v>233</v>
      </c>
      <c r="B11" s="29" t="s">
        <v>234</v>
      </c>
      <c r="C11" s="51">
        <v>0</v>
      </c>
      <c r="D11" s="121">
        <f t="shared" si="1"/>
        <v>0</v>
      </c>
      <c r="E11" s="135">
        <f t="shared" si="0"/>
        <v>0</v>
      </c>
      <c r="F11" s="204">
        <v>0</v>
      </c>
      <c r="G11" s="204">
        <v>0</v>
      </c>
      <c r="H11" s="204">
        <v>0</v>
      </c>
      <c r="I11" s="204">
        <v>0</v>
      </c>
      <c r="J11" s="204">
        <v>0</v>
      </c>
    </row>
    <row r="12" spans="1:10" x14ac:dyDescent="0.2">
      <c r="A12" s="34" t="s">
        <v>235</v>
      </c>
      <c r="B12" s="29">
        <v>2020</v>
      </c>
      <c r="C12" s="51">
        <v>0</v>
      </c>
      <c r="D12" s="121">
        <f t="shared" si="1"/>
        <v>0</v>
      </c>
      <c r="E12" s="135">
        <f t="shared" si="0"/>
        <v>0</v>
      </c>
      <c r="F12" s="204">
        <v>0</v>
      </c>
      <c r="G12" s="204">
        <v>0</v>
      </c>
      <c r="H12" s="204">
        <v>0</v>
      </c>
      <c r="I12" s="204">
        <v>0</v>
      </c>
      <c r="J12" s="204">
        <v>0</v>
      </c>
    </row>
    <row r="13" spans="1:10" x14ac:dyDescent="0.2">
      <c r="A13" s="34" t="s">
        <v>236</v>
      </c>
      <c r="B13" s="29">
        <v>2030</v>
      </c>
      <c r="C13" s="51">
        <v>0</v>
      </c>
      <c r="D13" s="121">
        <f t="shared" si="1"/>
        <v>0</v>
      </c>
      <c r="E13" s="135">
        <f t="shared" si="0"/>
        <v>0</v>
      </c>
      <c r="F13" s="204">
        <v>0</v>
      </c>
      <c r="G13" s="204">
        <v>0</v>
      </c>
      <c r="H13" s="204">
        <v>0</v>
      </c>
      <c r="I13" s="204">
        <v>0</v>
      </c>
      <c r="J13" s="204">
        <v>0</v>
      </c>
    </row>
    <row r="14" spans="1:10" ht="25.5" x14ac:dyDescent="0.2">
      <c r="A14" s="34" t="s">
        <v>237</v>
      </c>
      <c r="B14" s="29">
        <v>2031</v>
      </c>
      <c r="C14" s="51">
        <v>0</v>
      </c>
      <c r="D14" s="121">
        <f t="shared" si="1"/>
        <v>0</v>
      </c>
      <c r="E14" s="135">
        <f t="shared" si="0"/>
        <v>0</v>
      </c>
      <c r="F14" s="204">
        <v>0</v>
      </c>
      <c r="G14" s="204">
        <v>0</v>
      </c>
      <c r="H14" s="204">
        <v>0</v>
      </c>
      <c r="I14" s="204">
        <v>0</v>
      </c>
      <c r="J14" s="204">
        <v>0</v>
      </c>
    </row>
    <row r="15" spans="1:10" x14ac:dyDescent="0.2">
      <c r="A15" s="34" t="s">
        <v>238</v>
      </c>
      <c r="B15" s="29">
        <v>2040</v>
      </c>
      <c r="C15" s="51">
        <v>0</v>
      </c>
      <c r="D15" s="121">
        <f t="shared" si="1"/>
        <v>0</v>
      </c>
      <c r="E15" s="135">
        <f t="shared" si="0"/>
        <v>0</v>
      </c>
      <c r="F15" s="204">
        <v>0</v>
      </c>
      <c r="G15" s="204">
        <v>0</v>
      </c>
      <c r="H15" s="204">
        <v>0</v>
      </c>
      <c r="I15" s="204">
        <v>0</v>
      </c>
      <c r="J15" s="204">
        <v>0</v>
      </c>
    </row>
    <row r="16" spans="1:10" x14ac:dyDescent="0.2">
      <c r="A16" s="34" t="s">
        <v>239</v>
      </c>
      <c r="B16" s="29">
        <v>2050</v>
      </c>
      <c r="C16" s="51">
        <v>0</v>
      </c>
      <c r="D16" s="121">
        <f t="shared" si="1"/>
        <v>0</v>
      </c>
      <c r="E16" s="135">
        <f t="shared" si="0"/>
        <v>0</v>
      </c>
      <c r="F16" s="204">
        <v>0</v>
      </c>
      <c r="G16" s="204">
        <v>0</v>
      </c>
      <c r="H16" s="204">
        <v>0</v>
      </c>
      <c r="I16" s="204">
        <v>0</v>
      </c>
      <c r="J16" s="204">
        <v>0</v>
      </c>
    </row>
    <row r="17" spans="1:10" x14ac:dyDescent="0.2">
      <c r="A17" s="34" t="s">
        <v>240</v>
      </c>
      <c r="B17" s="29">
        <v>2060</v>
      </c>
      <c r="C17" s="51">
        <v>0</v>
      </c>
      <c r="D17" s="121">
        <f t="shared" si="1"/>
        <v>0</v>
      </c>
      <c r="E17" s="135">
        <f t="shared" si="0"/>
        <v>0</v>
      </c>
      <c r="F17" s="204">
        <v>0</v>
      </c>
      <c r="G17" s="204">
        <v>0</v>
      </c>
      <c r="H17" s="204">
        <v>0</v>
      </c>
      <c r="I17" s="204">
        <v>0</v>
      </c>
      <c r="J17" s="204">
        <v>0</v>
      </c>
    </row>
    <row r="18" spans="1:10" ht="30" customHeight="1" x14ac:dyDescent="0.2">
      <c r="A18" s="34" t="s">
        <v>241</v>
      </c>
      <c r="B18" s="29">
        <v>2070</v>
      </c>
      <c r="C18" s="28">
        <f>C7+C6</f>
        <v>-2979.1999999999957</v>
      </c>
      <c r="D18" s="186">
        <f>D7+D6</f>
        <v>1685.1</v>
      </c>
      <c r="E18" s="135">
        <f>D18</f>
        <v>1685.1</v>
      </c>
      <c r="F18" s="204">
        <f>F6+F7</f>
        <v>-4197.679161638629</v>
      </c>
      <c r="G18" s="204">
        <f>G6+G7</f>
        <v>457.750925673457</v>
      </c>
      <c r="H18" s="204">
        <f>H6+H7</f>
        <v>-2638.5305944755687</v>
      </c>
      <c r="I18" s="204">
        <f t="shared" ref="I18" si="2">I6+I7</f>
        <v>-4878.9861728755686</v>
      </c>
      <c r="J18" s="204">
        <f>J6+J7</f>
        <v>-5489.0209288275973</v>
      </c>
    </row>
    <row r="19" spans="1:10" ht="30" customHeight="1" x14ac:dyDescent="0.2">
      <c r="A19" s="287" t="s">
        <v>242</v>
      </c>
      <c r="B19" s="288"/>
      <c r="C19" s="288"/>
      <c r="D19" s="288"/>
      <c r="E19" s="288"/>
      <c r="F19" s="288"/>
      <c r="G19" s="288"/>
      <c r="H19" s="288"/>
      <c r="I19" s="288"/>
      <c r="J19" s="289"/>
    </row>
    <row r="20" spans="1:10" s="64" customFormat="1" ht="41.25" customHeight="1" x14ac:dyDescent="0.2">
      <c r="A20" s="52" t="s">
        <v>61</v>
      </c>
      <c r="B20" s="61">
        <v>2110</v>
      </c>
      <c r="C20" s="59">
        <f>SUM(C21:C29)</f>
        <v>88.1</v>
      </c>
      <c r="D20" s="59">
        <f>SUM(D21:D29)</f>
        <v>112.6</v>
      </c>
      <c r="E20" s="121">
        <f>D20</f>
        <v>112.6</v>
      </c>
      <c r="F20" s="203">
        <f>SUM(F21:F29)</f>
        <v>-1179.5822889889675</v>
      </c>
      <c r="G20" s="203">
        <f>SUM(G21:G29)</f>
        <v>37.128558300000002</v>
      </c>
      <c r="H20" s="203">
        <f t="shared" ref="H20:J20" si="3">SUM(H21:H29)</f>
        <v>22.439077050000002</v>
      </c>
      <c r="I20" s="203">
        <f t="shared" si="3"/>
        <v>18.0011808</v>
      </c>
      <c r="J20" s="203">
        <f t="shared" si="3"/>
        <v>-1257.1511051389678</v>
      </c>
    </row>
    <row r="21" spans="1:10" ht="18" customHeight="1" x14ac:dyDescent="0.2">
      <c r="A21" s="34" t="s">
        <v>62</v>
      </c>
      <c r="B21" s="29">
        <v>2111</v>
      </c>
      <c r="C21" s="28">
        <v>0</v>
      </c>
      <c r="D21" s="134">
        <v>2.8</v>
      </c>
      <c r="E21" s="135">
        <f>D21</f>
        <v>2.8</v>
      </c>
      <c r="F21" s="204">
        <f>SUM(G21:J21)</f>
        <v>-1291.3417671889677</v>
      </c>
      <c r="G21" s="204">
        <v>0</v>
      </c>
      <c r="H21" s="204">
        <v>0</v>
      </c>
      <c r="I21" s="204">
        <v>0</v>
      </c>
      <c r="J21" s="204">
        <f>'формування фін результатів'!F70*0.18</f>
        <v>-1291.3417671889677</v>
      </c>
    </row>
    <row r="22" spans="1:10" ht="25.5" x14ac:dyDescent="0.2">
      <c r="A22" s="34" t="s">
        <v>63</v>
      </c>
      <c r="B22" s="29">
        <v>2112</v>
      </c>
      <c r="C22" s="28">
        <v>0</v>
      </c>
      <c r="D22" s="134">
        <v>0</v>
      </c>
      <c r="E22" s="135">
        <f t="shared" ref="E22:E43" si="4">D22</f>
        <v>0</v>
      </c>
      <c r="F22" s="204">
        <f>SUM(G22:J22)</f>
        <v>0</v>
      </c>
      <c r="G22" s="204">
        <v>0</v>
      </c>
      <c r="H22" s="204">
        <v>0</v>
      </c>
      <c r="I22" s="204">
        <v>0</v>
      </c>
      <c r="J22" s="204">
        <v>0</v>
      </c>
    </row>
    <row r="23" spans="1:10" ht="38.25" x14ac:dyDescent="0.2">
      <c r="A23" s="34" t="s">
        <v>64</v>
      </c>
      <c r="B23" s="29">
        <v>2113</v>
      </c>
      <c r="C23" s="51">
        <v>0</v>
      </c>
      <c r="D23" s="134">
        <v>0</v>
      </c>
      <c r="E23" s="135">
        <f t="shared" si="4"/>
        <v>0</v>
      </c>
      <c r="F23" s="204">
        <v>0</v>
      </c>
      <c r="G23" s="204">
        <v>0</v>
      </c>
      <c r="H23" s="204">
        <v>0</v>
      </c>
      <c r="I23" s="204">
        <v>0</v>
      </c>
      <c r="J23" s="204">
        <v>0</v>
      </c>
    </row>
    <row r="24" spans="1:10" x14ac:dyDescent="0.2">
      <c r="A24" s="34" t="s">
        <v>65</v>
      </c>
      <c r="B24" s="29">
        <v>2114</v>
      </c>
      <c r="C24" s="51">
        <v>0</v>
      </c>
      <c r="D24" s="134">
        <v>0</v>
      </c>
      <c r="E24" s="135">
        <f t="shared" si="4"/>
        <v>0</v>
      </c>
      <c r="F24" s="204">
        <v>0</v>
      </c>
      <c r="G24" s="204">
        <v>0</v>
      </c>
      <c r="H24" s="204">
        <v>0</v>
      </c>
      <c r="I24" s="204">
        <v>0</v>
      </c>
      <c r="J24" s="204">
        <v>0</v>
      </c>
    </row>
    <row r="25" spans="1:10" ht="38.25" x14ac:dyDescent="0.2">
      <c r="A25" s="34" t="s">
        <v>66</v>
      </c>
      <c r="B25" s="29">
        <v>2115</v>
      </c>
      <c r="C25" s="51">
        <v>0</v>
      </c>
      <c r="D25" s="134">
        <v>0</v>
      </c>
      <c r="E25" s="135">
        <f t="shared" si="4"/>
        <v>0</v>
      </c>
      <c r="F25" s="204">
        <v>0</v>
      </c>
      <c r="G25" s="204">
        <v>0</v>
      </c>
      <c r="H25" s="204">
        <v>0</v>
      </c>
      <c r="I25" s="204">
        <v>0</v>
      </c>
      <c r="J25" s="204">
        <v>0</v>
      </c>
    </row>
    <row r="26" spans="1:10" x14ac:dyDescent="0.2">
      <c r="A26" s="34" t="s">
        <v>67</v>
      </c>
      <c r="B26" s="29">
        <v>2116</v>
      </c>
      <c r="C26" s="51">
        <v>0</v>
      </c>
      <c r="D26" s="134">
        <v>0</v>
      </c>
      <c r="E26" s="135">
        <f t="shared" si="4"/>
        <v>0</v>
      </c>
      <c r="F26" s="204">
        <v>0</v>
      </c>
      <c r="G26" s="204">
        <v>0</v>
      </c>
      <c r="H26" s="204">
        <v>0</v>
      </c>
      <c r="I26" s="204">
        <v>0</v>
      </c>
      <c r="J26" s="204">
        <v>0</v>
      </c>
    </row>
    <row r="27" spans="1:10" x14ac:dyDescent="0.2">
      <c r="A27" s="34" t="s">
        <v>68</v>
      </c>
      <c r="B27" s="29">
        <v>2117</v>
      </c>
      <c r="C27" s="51">
        <v>0</v>
      </c>
      <c r="D27" s="134">
        <v>0</v>
      </c>
      <c r="E27" s="135">
        <f t="shared" si="4"/>
        <v>0</v>
      </c>
      <c r="F27" s="204">
        <v>0</v>
      </c>
      <c r="G27" s="204">
        <v>0</v>
      </c>
      <c r="H27" s="204">
        <v>0</v>
      </c>
      <c r="I27" s="204">
        <v>0</v>
      </c>
      <c r="J27" s="204">
        <v>0</v>
      </c>
    </row>
    <row r="28" spans="1:10" x14ac:dyDescent="0.2">
      <c r="A28" s="34" t="s">
        <v>243</v>
      </c>
      <c r="B28" s="29">
        <v>2118</v>
      </c>
      <c r="C28" s="51">
        <v>0</v>
      </c>
      <c r="D28" s="134">
        <v>0</v>
      </c>
      <c r="E28" s="135">
        <f t="shared" si="4"/>
        <v>0</v>
      </c>
      <c r="F28" s="204">
        <v>0</v>
      </c>
      <c r="G28" s="204">
        <v>0</v>
      </c>
      <c r="H28" s="204">
        <v>0</v>
      </c>
      <c r="I28" s="204">
        <v>0</v>
      </c>
      <c r="J28" s="204">
        <v>0</v>
      </c>
    </row>
    <row r="29" spans="1:10" x14ac:dyDescent="0.2">
      <c r="A29" s="34" t="s">
        <v>244</v>
      </c>
      <c r="B29" s="29">
        <v>2119</v>
      </c>
      <c r="C29" s="28">
        <v>88.1</v>
      </c>
      <c r="D29" s="134">
        <v>109.8</v>
      </c>
      <c r="E29" s="135">
        <f t="shared" si="4"/>
        <v>109.8</v>
      </c>
      <c r="F29" s="204">
        <f>SUM(G29:J29)</f>
        <v>111.7594782</v>
      </c>
      <c r="G29" s="204">
        <f>'формування фін результатів'!G93*0.015+1.5</f>
        <v>37.128558300000002</v>
      </c>
      <c r="H29" s="204">
        <f>'формування фін результатів'!H93*0.015+1.5</f>
        <v>22.439077050000002</v>
      </c>
      <c r="I29" s="204">
        <f>'формування фін результатів'!I93*0.015</f>
        <v>18.0011808</v>
      </c>
      <c r="J29" s="204">
        <f>'формування фін результатів'!J93*0.015+1.5</f>
        <v>34.19066205</v>
      </c>
    </row>
    <row r="30" spans="1:10" s="64" customFormat="1" ht="42" customHeight="1" x14ac:dyDescent="0.2">
      <c r="A30" s="52" t="s">
        <v>245</v>
      </c>
      <c r="B30" s="61">
        <v>2120</v>
      </c>
      <c r="C30" s="59">
        <f>SUM(C31:C34)</f>
        <v>991.7</v>
      </c>
      <c r="D30" s="59">
        <f>SUM(D31:D34)</f>
        <v>1628.1999999999998</v>
      </c>
      <c r="E30" s="135">
        <f t="shared" si="4"/>
        <v>1628.1999999999998</v>
      </c>
      <c r="F30" s="203">
        <f>SUM(F31:F34)</f>
        <v>1247.3975850071956</v>
      </c>
      <c r="G30" s="203">
        <f t="shared" ref="G30:J30" si="5">SUM(G31:G34)</f>
        <v>440.48996460000001</v>
      </c>
      <c r="H30" s="203">
        <f t="shared" si="5"/>
        <v>264.21618960000001</v>
      </c>
      <c r="I30" s="203">
        <f t="shared" si="5"/>
        <v>228.96143459999996</v>
      </c>
      <c r="J30" s="203">
        <f t="shared" si="5"/>
        <v>313.72999620719565</v>
      </c>
    </row>
    <row r="31" spans="1:10" x14ac:dyDescent="0.2">
      <c r="A31" s="34" t="s">
        <v>243</v>
      </c>
      <c r="B31" s="29">
        <v>2121</v>
      </c>
      <c r="C31" s="28">
        <v>991.7</v>
      </c>
      <c r="D31" s="134">
        <v>1264.0999999999999</v>
      </c>
      <c r="E31" s="135">
        <f t="shared" si="4"/>
        <v>1264.0999999999999</v>
      </c>
      <c r="F31" s="203">
        <f>SUM(G31:J31)</f>
        <v>1287.1137383999999</v>
      </c>
      <c r="G31" s="204">
        <f>'формування фін результатів'!G93*0.18</f>
        <v>427.54269959999999</v>
      </c>
      <c r="H31" s="204">
        <f>'формування фін результатів'!H93*0.18</f>
        <v>251.26892459999999</v>
      </c>
      <c r="I31" s="204">
        <f>'формування фін результатів'!I93*0.18</f>
        <v>216.01416959999997</v>
      </c>
      <c r="J31" s="204">
        <f>'формування фін результатів'!J93*0.18</f>
        <v>392.28794459999995</v>
      </c>
    </row>
    <row r="32" spans="1:10" x14ac:dyDescent="0.2">
      <c r="A32" s="34" t="s">
        <v>246</v>
      </c>
      <c r="B32" s="29">
        <v>2122</v>
      </c>
      <c r="C32" s="28">
        <v>0</v>
      </c>
      <c r="D32" s="134">
        <v>0</v>
      </c>
      <c r="E32" s="135">
        <f t="shared" si="4"/>
        <v>0</v>
      </c>
      <c r="F32" s="204">
        <v>0</v>
      </c>
      <c r="G32" s="204">
        <v>0</v>
      </c>
      <c r="H32" s="204">
        <v>0</v>
      </c>
      <c r="I32" s="204">
        <v>0</v>
      </c>
      <c r="J32" s="204">
        <v>0</v>
      </c>
    </row>
    <row r="33" spans="1:10" x14ac:dyDescent="0.2">
      <c r="A33" s="34" t="s">
        <v>247</v>
      </c>
      <c r="B33" s="29">
        <v>2123</v>
      </c>
      <c r="C33" s="28">
        <v>0</v>
      </c>
      <c r="D33" s="134">
        <f>'формування фін результатів'!D58</f>
        <v>36.200000000000003</v>
      </c>
      <c r="E33" s="135">
        <f t="shared" si="4"/>
        <v>36.200000000000003</v>
      </c>
      <c r="F33" s="203">
        <f>SUM(G33:J33)</f>
        <v>51.789059999999999</v>
      </c>
      <c r="G33" s="204">
        <f>'формування фін результатів'!G58</f>
        <v>12.947265</v>
      </c>
      <c r="H33" s="204">
        <f>'формування фін результатів'!H58</f>
        <v>12.947265</v>
      </c>
      <c r="I33" s="204">
        <f>'формування фін результатів'!I58</f>
        <v>12.947265</v>
      </c>
      <c r="J33" s="204">
        <f>'формування фін результатів'!J58</f>
        <v>12.947265</v>
      </c>
    </row>
    <row r="34" spans="1:10" x14ac:dyDescent="0.2">
      <c r="A34" s="34" t="s">
        <v>244</v>
      </c>
      <c r="B34" s="29">
        <v>2124</v>
      </c>
      <c r="C34" s="28">
        <v>0</v>
      </c>
      <c r="D34" s="134">
        <v>327.9</v>
      </c>
      <c r="E34" s="135">
        <f t="shared" si="4"/>
        <v>327.9</v>
      </c>
      <c r="F34" s="203">
        <f>SUM(G34:J34)</f>
        <v>-91.505213392804308</v>
      </c>
      <c r="G34" s="204">
        <v>0</v>
      </c>
      <c r="H34" s="204">
        <v>0</v>
      </c>
      <c r="I34" s="204">
        <v>0</v>
      </c>
      <c r="J34" s="204">
        <f>'формування фін результатів'!J76*0.15</f>
        <v>-91.505213392804308</v>
      </c>
    </row>
    <row r="35" spans="1:10" s="64" customFormat="1" ht="30" customHeight="1" x14ac:dyDescent="0.2">
      <c r="A35" s="52" t="s">
        <v>248</v>
      </c>
      <c r="B35" s="61">
        <v>2130</v>
      </c>
      <c r="C35" s="59">
        <f>SUM(C36:C39)</f>
        <v>1186.2</v>
      </c>
      <c r="D35" s="59">
        <f>SUM(D36:D39)</f>
        <v>1545</v>
      </c>
      <c r="E35" s="135">
        <f t="shared" si="4"/>
        <v>1545</v>
      </c>
      <c r="F35" s="203">
        <f>SUM(F36:F39)</f>
        <v>1573.1390136</v>
      </c>
      <c r="G35" s="203">
        <f t="shared" ref="G35:J35" si="6">SUM(G36:G39)</f>
        <v>522.55218839999998</v>
      </c>
      <c r="H35" s="203">
        <f t="shared" si="6"/>
        <v>307.1064634</v>
      </c>
      <c r="I35" s="203">
        <f t="shared" si="6"/>
        <v>264.01731840000002</v>
      </c>
      <c r="J35" s="203">
        <f t="shared" si="6"/>
        <v>479.4630434</v>
      </c>
    </row>
    <row r="36" spans="1:10" ht="63.75" x14ac:dyDescent="0.2">
      <c r="A36" s="34" t="s">
        <v>70</v>
      </c>
      <c r="B36" s="29">
        <v>2131</v>
      </c>
      <c r="C36" s="51">
        <v>0</v>
      </c>
      <c r="D36" s="134">
        <v>0</v>
      </c>
      <c r="E36" s="135">
        <f t="shared" si="4"/>
        <v>0</v>
      </c>
      <c r="F36" s="204">
        <v>0</v>
      </c>
      <c r="G36" s="204">
        <v>0</v>
      </c>
      <c r="H36" s="204">
        <v>0</v>
      </c>
      <c r="I36" s="204">
        <v>0</v>
      </c>
      <c r="J36" s="204">
        <v>0</v>
      </c>
    </row>
    <row r="37" spans="1:10" x14ac:dyDescent="0.2">
      <c r="A37" s="34" t="s">
        <v>249</v>
      </c>
      <c r="B37" s="29">
        <v>2132</v>
      </c>
      <c r="C37" s="51">
        <v>0</v>
      </c>
      <c r="D37" s="134">
        <v>0</v>
      </c>
      <c r="E37" s="135">
        <f t="shared" si="4"/>
        <v>0</v>
      </c>
      <c r="F37" s="204">
        <v>0</v>
      </c>
      <c r="G37" s="204">
        <v>0</v>
      </c>
      <c r="H37" s="204">
        <v>0</v>
      </c>
      <c r="I37" s="204">
        <v>0</v>
      </c>
      <c r="J37" s="204">
        <v>0</v>
      </c>
    </row>
    <row r="38" spans="1:10" ht="30" customHeight="1" x14ac:dyDescent="0.2">
      <c r="A38" s="34" t="s">
        <v>71</v>
      </c>
      <c r="B38" s="29">
        <v>2133</v>
      </c>
      <c r="C38" s="28">
        <v>1186.2</v>
      </c>
      <c r="D38" s="134">
        <f>'формування фін результатів'!D94</f>
        <v>1545</v>
      </c>
      <c r="E38" s="135">
        <f t="shared" si="4"/>
        <v>1545</v>
      </c>
      <c r="F38" s="203">
        <f>SUM(G38:J38)</f>
        <v>1573.1390136</v>
      </c>
      <c r="G38" s="204">
        <f>'формування фін результатів'!G94</f>
        <v>522.55218839999998</v>
      </c>
      <c r="H38" s="204">
        <f>'формування фін результатів'!H94</f>
        <v>307.1064634</v>
      </c>
      <c r="I38" s="204">
        <f>'формування фін результатів'!I94</f>
        <v>264.01731840000002</v>
      </c>
      <c r="J38" s="204">
        <f>'формування фін результатів'!J94</f>
        <v>479.4630434</v>
      </c>
    </row>
    <row r="39" spans="1:10" x14ac:dyDescent="0.2">
      <c r="A39" s="34" t="s">
        <v>250</v>
      </c>
      <c r="B39" s="29">
        <v>2134</v>
      </c>
      <c r="C39" s="51">
        <v>0</v>
      </c>
      <c r="D39" s="134">
        <v>0</v>
      </c>
      <c r="E39" s="135">
        <f t="shared" si="4"/>
        <v>0</v>
      </c>
      <c r="F39" s="204">
        <v>0</v>
      </c>
      <c r="G39" s="204">
        <v>0</v>
      </c>
      <c r="H39" s="204">
        <v>0</v>
      </c>
      <c r="I39" s="204">
        <v>0</v>
      </c>
      <c r="J39" s="204">
        <v>0</v>
      </c>
    </row>
    <row r="40" spans="1:10" ht="25.5" x14ac:dyDescent="0.2">
      <c r="A40" s="31" t="s">
        <v>251</v>
      </c>
      <c r="B40" s="32">
        <v>2140</v>
      </c>
      <c r="C40" s="51">
        <v>0</v>
      </c>
      <c r="D40" s="134">
        <v>0</v>
      </c>
      <c r="E40" s="135">
        <f t="shared" si="4"/>
        <v>0</v>
      </c>
      <c r="F40" s="204">
        <v>0</v>
      </c>
      <c r="G40" s="204">
        <v>0</v>
      </c>
      <c r="H40" s="204">
        <v>0</v>
      </c>
      <c r="I40" s="204">
        <v>0</v>
      </c>
      <c r="J40" s="204">
        <v>0</v>
      </c>
    </row>
    <row r="41" spans="1:10" ht="38.25" x14ac:dyDescent="0.2">
      <c r="A41" s="34" t="s">
        <v>252</v>
      </c>
      <c r="B41" s="29">
        <v>2141</v>
      </c>
      <c r="C41" s="51">
        <v>0</v>
      </c>
      <c r="D41" s="134">
        <v>0</v>
      </c>
      <c r="E41" s="135">
        <f t="shared" si="4"/>
        <v>0</v>
      </c>
      <c r="F41" s="204">
        <v>0</v>
      </c>
      <c r="G41" s="204">
        <v>0</v>
      </c>
      <c r="H41" s="204">
        <v>0</v>
      </c>
      <c r="I41" s="204">
        <v>0</v>
      </c>
      <c r="J41" s="204">
        <v>0</v>
      </c>
    </row>
    <row r="42" spans="1:10" x14ac:dyDescent="0.2">
      <c r="A42" s="34" t="s">
        <v>253</v>
      </c>
      <c r="B42" s="29">
        <v>2142</v>
      </c>
      <c r="C42" s="51">
        <v>0</v>
      </c>
      <c r="D42" s="134">
        <v>0</v>
      </c>
      <c r="E42" s="135">
        <f t="shared" si="4"/>
        <v>0</v>
      </c>
      <c r="F42" s="204">
        <v>0</v>
      </c>
      <c r="G42" s="204">
        <v>0</v>
      </c>
      <c r="H42" s="204">
        <v>0</v>
      </c>
      <c r="I42" s="204">
        <v>0</v>
      </c>
      <c r="J42" s="204">
        <v>0</v>
      </c>
    </row>
    <row r="43" spans="1:10" x14ac:dyDescent="0.2">
      <c r="A43" s="31" t="s">
        <v>72</v>
      </c>
      <c r="B43" s="32">
        <v>2200</v>
      </c>
      <c r="C43" s="33">
        <f>C35+C30+C20</f>
        <v>2266</v>
      </c>
      <c r="D43" s="133">
        <f>D35+D30+D20</f>
        <v>3285.7999999999997</v>
      </c>
      <c r="E43" s="135">
        <f t="shared" si="4"/>
        <v>3285.7999999999997</v>
      </c>
      <c r="F43" s="203">
        <f>F35+F30+F20</f>
        <v>1640.9543096182281</v>
      </c>
      <c r="G43" s="203">
        <f>G35+G30+G20</f>
        <v>1000.1707113</v>
      </c>
      <c r="H43" s="203">
        <f t="shared" ref="H43:J43" si="7">H35+H30+H20</f>
        <v>593.76173004999998</v>
      </c>
      <c r="I43" s="203">
        <f t="shared" si="7"/>
        <v>510.97993379999997</v>
      </c>
      <c r="J43" s="203">
        <f t="shared" si="7"/>
        <v>-463.95806553177204</v>
      </c>
    </row>
  </sheetData>
  <mergeCells count="10">
    <mergeCell ref="A19:J19"/>
    <mergeCell ref="A5:J5"/>
    <mergeCell ref="A1:J1"/>
    <mergeCell ref="G2:J2"/>
    <mergeCell ref="F2:F3"/>
    <mergeCell ref="E2:E3"/>
    <mergeCell ref="D2:D3"/>
    <mergeCell ref="C2:C3"/>
    <mergeCell ref="B2:B3"/>
    <mergeCell ref="A2:A3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opLeftCell="A70" zoomScale="130" zoomScaleNormal="130" workbookViewId="0">
      <pane xSplit="1" topLeftCell="B1" activePane="topRight" state="frozen"/>
      <selection activeCell="A4" sqref="A4"/>
      <selection pane="topRight" activeCell="N56" sqref="N56"/>
    </sheetView>
  </sheetViews>
  <sheetFormatPr defaultRowHeight="12.75" x14ac:dyDescent="0.2"/>
  <cols>
    <col min="1" max="1" width="34.5703125" style="27" customWidth="1"/>
    <col min="2" max="2" width="9.28515625" style="27" bestFit="1" customWidth="1"/>
    <col min="3" max="3" width="9.28515625" style="122" bestFit="1" customWidth="1"/>
    <col min="4" max="4" width="9.28515625" style="122" customWidth="1"/>
    <col min="5" max="5" width="11.7109375" style="147" bestFit="1" customWidth="1"/>
    <col min="6" max="6" width="11" style="210" bestFit="1" customWidth="1"/>
    <col min="7" max="7" width="14.7109375" style="210" customWidth="1"/>
    <col min="8" max="10" width="11" style="210" bestFit="1" customWidth="1"/>
    <col min="11" max="16384" width="9.140625" style="27"/>
  </cols>
  <sheetData>
    <row r="1" spans="1:10" ht="50.1" customHeight="1" x14ac:dyDescent="0.2">
      <c r="A1" s="290" t="s">
        <v>254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0" ht="38.25" x14ac:dyDescent="0.2">
      <c r="A2" s="47" t="s">
        <v>22</v>
      </c>
      <c r="B2" s="49" t="s">
        <v>23</v>
      </c>
      <c r="C2" s="263" t="s">
        <v>24</v>
      </c>
      <c r="D2" s="293" t="s">
        <v>255</v>
      </c>
      <c r="E2" s="302" t="s">
        <v>26</v>
      </c>
      <c r="F2" s="291" t="s">
        <v>125</v>
      </c>
      <c r="G2" s="299" t="s">
        <v>126</v>
      </c>
      <c r="H2" s="300"/>
      <c r="I2" s="300"/>
      <c r="J2" s="301"/>
    </row>
    <row r="3" spans="1:10" x14ac:dyDescent="0.2">
      <c r="A3" s="48"/>
      <c r="B3" s="50"/>
      <c r="C3" s="264"/>
      <c r="D3" s="294"/>
      <c r="E3" s="303"/>
      <c r="F3" s="292"/>
      <c r="G3" s="204" t="s">
        <v>128</v>
      </c>
      <c r="H3" s="204" t="s">
        <v>129</v>
      </c>
      <c r="I3" s="204" t="s">
        <v>130</v>
      </c>
      <c r="J3" s="204" t="s">
        <v>131</v>
      </c>
    </row>
    <row r="4" spans="1:10" s="38" customFormat="1" x14ac:dyDescent="0.2">
      <c r="A4" s="37">
        <v>1</v>
      </c>
      <c r="B4" s="37">
        <v>2</v>
      </c>
      <c r="C4" s="129">
        <v>3</v>
      </c>
      <c r="D4" s="129">
        <v>4</v>
      </c>
      <c r="E4" s="173">
        <v>5</v>
      </c>
      <c r="F4" s="211">
        <v>6</v>
      </c>
      <c r="G4" s="211">
        <v>7</v>
      </c>
      <c r="H4" s="211">
        <v>8</v>
      </c>
      <c r="I4" s="211">
        <v>9</v>
      </c>
      <c r="J4" s="211">
        <v>10</v>
      </c>
    </row>
    <row r="5" spans="1:10" ht="31.5" customHeight="1" x14ac:dyDescent="0.2">
      <c r="A5" s="287" t="s">
        <v>256</v>
      </c>
      <c r="B5" s="288"/>
      <c r="C5" s="288"/>
      <c r="D5" s="288"/>
      <c r="E5" s="288"/>
      <c r="F5" s="288"/>
      <c r="G5" s="288"/>
      <c r="H5" s="288"/>
      <c r="I5" s="288"/>
      <c r="J5" s="289"/>
    </row>
    <row r="6" spans="1:10" s="64" customFormat="1" ht="25.5" x14ac:dyDescent="0.2">
      <c r="A6" s="31" t="s">
        <v>257</v>
      </c>
      <c r="B6" s="61">
        <v>3000</v>
      </c>
      <c r="C6" s="65">
        <f>C7+C8+C10+C11+C12+C16</f>
        <v>39482.699999999997</v>
      </c>
      <c r="D6" s="65">
        <f>D7+D8+D10+D11+D12+D16</f>
        <v>29748.2</v>
      </c>
      <c r="E6" s="59">
        <f>D6</f>
        <v>29748.2</v>
      </c>
      <c r="F6" s="203">
        <f t="shared" ref="F6:J6" si="0">SUM(F7:F16)</f>
        <v>22952.282640000005</v>
      </c>
      <c r="G6" s="203">
        <f>SUM(G7:G16)</f>
        <v>11543.988660000001</v>
      </c>
      <c r="H6" s="203">
        <f t="shared" si="0"/>
        <v>195.35273999999998</v>
      </c>
      <c r="I6" s="203">
        <f t="shared" si="0"/>
        <v>147.49818000000002</v>
      </c>
      <c r="J6" s="203">
        <f t="shared" si="0"/>
        <v>11065.443060000001</v>
      </c>
    </row>
    <row r="7" spans="1:10" ht="25.5" x14ac:dyDescent="0.2">
      <c r="A7" s="34" t="s">
        <v>258</v>
      </c>
      <c r="B7" s="29">
        <v>3010</v>
      </c>
      <c r="C7" s="262">
        <v>15540.7</v>
      </c>
      <c r="D7" s="262">
        <v>29748.2</v>
      </c>
      <c r="E7" s="56">
        <f t="shared" ref="E7:E36" si="1">D7</f>
        <v>29748.2</v>
      </c>
      <c r="F7" s="204">
        <f>SUM(G7:J7)</f>
        <v>22952.282640000005</v>
      </c>
      <c r="G7" s="204">
        <f>'формування фін результатів'!G6*1.2</f>
        <v>11543.988660000001</v>
      </c>
      <c r="H7" s="204">
        <f>'формування фін результатів'!H6*1.2</f>
        <v>195.35273999999998</v>
      </c>
      <c r="I7" s="204">
        <f>'формування фін результатів'!I6*1.2</f>
        <v>147.49818000000002</v>
      </c>
      <c r="J7" s="204">
        <f>'формування фін результатів'!J6*1.2</f>
        <v>11065.443060000001</v>
      </c>
    </row>
    <row r="8" spans="1:10" ht="25.5" x14ac:dyDescent="0.2">
      <c r="A8" s="34" t="s">
        <v>259</v>
      </c>
      <c r="B8" s="29">
        <v>3020</v>
      </c>
      <c r="C8" s="262">
        <v>0</v>
      </c>
      <c r="D8" s="262">
        <v>0</v>
      </c>
      <c r="E8" s="56">
        <f t="shared" si="1"/>
        <v>0</v>
      </c>
      <c r="F8" s="204">
        <f t="shared" ref="F8:F16" si="2">SUM(G8:J8)</f>
        <v>0</v>
      </c>
      <c r="G8" s="204">
        <v>0</v>
      </c>
      <c r="H8" s="204">
        <v>0</v>
      </c>
      <c r="I8" s="204">
        <v>0</v>
      </c>
      <c r="J8" s="204">
        <v>0</v>
      </c>
    </row>
    <row r="9" spans="1:10" x14ac:dyDescent="0.2">
      <c r="A9" s="34" t="s">
        <v>260</v>
      </c>
      <c r="B9" s="29">
        <v>3030</v>
      </c>
      <c r="C9" s="262">
        <v>0</v>
      </c>
      <c r="D9" s="262">
        <v>0</v>
      </c>
      <c r="E9" s="56">
        <f t="shared" si="1"/>
        <v>0</v>
      </c>
      <c r="F9" s="204">
        <f t="shared" si="2"/>
        <v>0</v>
      </c>
      <c r="G9" s="204">
        <v>0</v>
      </c>
      <c r="H9" s="204">
        <v>0</v>
      </c>
      <c r="I9" s="204">
        <v>0</v>
      </c>
      <c r="J9" s="204">
        <v>0</v>
      </c>
    </row>
    <row r="10" spans="1:10" s="63" customFormat="1" x14ac:dyDescent="0.2">
      <c r="A10" s="62" t="s">
        <v>261</v>
      </c>
      <c r="B10" s="60">
        <v>3040</v>
      </c>
      <c r="C10" s="55">
        <v>20026.8</v>
      </c>
      <c r="D10" s="55">
        <v>0</v>
      </c>
      <c r="E10" s="56">
        <f t="shared" si="1"/>
        <v>0</v>
      </c>
      <c r="F10" s="204">
        <f t="shared" si="2"/>
        <v>0</v>
      </c>
      <c r="G10" s="204">
        <v>0</v>
      </c>
      <c r="H10" s="204">
        <v>0</v>
      </c>
      <c r="I10" s="204">
        <v>0</v>
      </c>
      <c r="J10" s="204">
        <v>0</v>
      </c>
    </row>
    <row r="11" spans="1:10" ht="25.5" x14ac:dyDescent="0.2">
      <c r="A11" s="34" t="s">
        <v>262</v>
      </c>
      <c r="B11" s="29">
        <v>3050</v>
      </c>
      <c r="C11" s="262">
        <v>1832.1</v>
      </c>
      <c r="D11" s="262">
        <v>0</v>
      </c>
      <c r="E11" s="56">
        <f t="shared" si="1"/>
        <v>0</v>
      </c>
      <c r="F11" s="204">
        <f t="shared" si="2"/>
        <v>0</v>
      </c>
      <c r="G11" s="204">
        <v>0</v>
      </c>
      <c r="H11" s="204">
        <v>0</v>
      </c>
      <c r="I11" s="204">
        <v>0</v>
      </c>
      <c r="J11" s="204">
        <v>0</v>
      </c>
    </row>
    <row r="12" spans="1:10" ht="30.75" customHeight="1" x14ac:dyDescent="0.2">
      <c r="A12" s="34" t="s">
        <v>263</v>
      </c>
      <c r="B12" s="29">
        <v>3060</v>
      </c>
      <c r="C12" s="262">
        <f>SUM(C13:C15)</f>
        <v>2000</v>
      </c>
      <c r="D12" s="262">
        <f>SUM(D13:D15)</f>
        <v>0</v>
      </c>
      <c r="E12" s="56">
        <f t="shared" si="1"/>
        <v>0</v>
      </c>
      <c r="F12" s="204">
        <f t="shared" ref="F12:J12" si="3">SUM(F13:F15)</f>
        <v>0</v>
      </c>
      <c r="G12" s="204">
        <f t="shared" si="3"/>
        <v>0</v>
      </c>
      <c r="H12" s="204">
        <f t="shared" si="3"/>
        <v>0</v>
      </c>
      <c r="I12" s="204">
        <f t="shared" si="3"/>
        <v>0</v>
      </c>
      <c r="J12" s="204">
        <f t="shared" si="3"/>
        <v>0</v>
      </c>
    </row>
    <row r="13" spans="1:10" x14ac:dyDescent="0.2">
      <c r="A13" s="34" t="s">
        <v>264</v>
      </c>
      <c r="B13" s="29">
        <v>3061</v>
      </c>
      <c r="C13" s="262">
        <v>0</v>
      </c>
      <c r="D13" s="262">
        <v>0</v>
      </c>
      <c r="E13" s="56">
        <f t="shared" si="1"/>
        <v>0</v>
      </c>
      <c r="F13" s="204">
        <f t="shared" si="2"/>
        <v>0</v>
      </c>
      <c r="G13" s="204">
        <v>0</v>
      </c>
      <c r="H13" s="204">
        <v>0</v>
      </c>
      <c r="I13" s="204">
        <v>0</v>
      </c>
      <c r="J13" s="204">
        <v>0</v>
      </c>
    </row>
    <row r="14" spans="1:10" x14ac:dyDescent="0.2">
      <c r="A14" s="34" t="s">
        <v>265</v>
      </c>
      <c r="B14" s="29">
        <v>3062</v>
      </c>
      <c r="C14" s="262">
        <v>2000</v>
      </c>
      <c r="D14" s="262">
        <v>0</v>
      </c>
      <c r="E14" s="56">
        <f t="shared" si="1"/>
        <v>0</v>
      </c>
      <c r="F14" s="204">
        <f t="shared" si="2"/>
        <v>0</v>
      </c>
      <c r="G14" s="204">
        <v>0</v>
      </c>
      <c r="H14" s="204">
        <v>0</v>
      </c>
      <c r="I14" s="204">
        <v>0</v>
      </c>
      <c r="J14" s="204">
        <v>0</v>
      </c>
    </row>
    <row r="15" spans="1:10" x14ac:dyDescent="0.2">
      <c r="A15" s="34" t="s">
        <v>266</v>
      </c>
      <c r="B15" s="29">
        <v>3063</v>
      </c>
      <c r="C15" s="262">
        <v>0</v>
      </c>
      <c r="D15" s="262">
        <v>0</v>
      </c>
      <c r="E15" s="56">
        <f t="shared" si="1"/>
        <v>0</v>
      </c>
      <c r="F15" s="204">
        <f t="shared" si="2"/>
        <v>0</v>
      </c>
      <c r="G15" s="204">
        <v>0</v>
      </c>
      <c r="H15" s="204">
        <v>0</v>
      </c>
      <c r="I15" s="204">
        <v>0</v>
      </c>
      <c r="J15" s="204">
        <v>0</v>
      </c>
    </row>
    <row r="16" spans="1:10" x14ac:dyDescent="0.2">
      <c r="A16" s="34" t="s">
        <v>267</v>
      </c>
      <c r="B16" s="29">
        <v>3070</v>
      </c>
      <c r="C16" s="262">
        <v>83.1</v>
      </c>
      <c r="D16" s="262">
        <v>0</v>
      </c>
      <c r="E16" s="56">
        <f t="shared" si="1"/>
        <v>0</v>
      </c>
      <c r="F16" s="204">
        <f t="shared" si="2"/>
        <v>0</v>
      </c>
      <c r="G16" s="204">
        <v>0</v>
      </c>
      <c r="H16" s="204">
        <v>0</v>
      </c>
      <c r="I16" s="204">
        <v>0</v>
      </c>
      <c r="J16" s="204">
        <v>0</v>
      </c>
    </row>
    <row r="17" spans="1:10" s="64" customFormat="1" ht="25.5" x14ac:dyDescent="0.2">
      <c r="A17" s="31" t="s">
        <v>268</v>
      </c>
      <c r="B17" s="61">
        <v>3100</v>
      </c>
      <c r="C17" s="65">
        <f>C18+C19+C20+C25+C34+C36+C21</f>
        <v>-20189.3</v>
      </c>
      <c r="D17" s="65">
        <f>D18+D19+D20+D25+D34+D36+D21</f>
        <v>-28488.300000000003</v>
      </c>
      <c r="E17" s="59">
        <f t="shared" si="1"/>
        <v>-28488.300000000003</v>
      </c>
      <c r="F17" s="203">
        <f>SUM(G17:J17)</f>
        <v>-27773.791808684153</v>
      </c>
      <c r="G17" s="203">
        <f t="shared" ref="G17:J17" si="4">G18+G19+G20+G25+G34+G36+G21</f>
        <v>-11999.789667511852</v>
      </c>
      <c r="H17" s="203">
        <f t="shared" si="4"/>
        <v>-3132.8215774988316</v>
      </c>
      <c r="I17" s="203">
        <f t="shared" si="4"/>
        <v>-2104.2656664000001</v>
      </c>
      <c r="J17" s="203">
        <f t="shared" si="4"/>
        <v>-10536.914897273467</v>
      </c>
    </row>
    <row r="18" spans="1:10" ht="25.5" x14ac:dyDescent="0.2">
      <c r="A18" s="34" t="s">
        <v>269</v>
      </c>
      <c r="B18" s="29">
        <v>3110</v>
      </c>
      <c r="C18" s="262">
        <v>-11456.8</v>
      </c>
      <c r="D18" s="262">
        <v>-19901.5</v>
      </c>
      <c r="E18" s="56">
        <f t="shared" si="1"/>
        <v>-19901.5</v>
      </c>
      <c r="F18" s="204">
        <f>SUM(G18:J18)</f>
        <v>-20324.862682273117</v>
      </c>
      <c r="G18" s="204">
        <f>-('формування фін результатів'!G91+'формування фін результатів'!G92+'формування фін результатів'!G96)*1.2</f>
        <v>-9097.5002591118518</v>
      </c>
      <c r="H18" s="204">
        <f>-('формування фін результатів'!H91+'формування фін результатів'!H92+'формування фін результатів'!H96)*1.2</f>
        <v>-1425.2766440988314</v>
      </c>
      <c r="I18" s="204">
        <f>-('формування фін результатів'!I91+'формування фін результатів'!I92+'формування фін результатів'!I96)*1.2</f>
        <v>-637.16962799999999</v>
      </c>
      <c r="J18" s="204">
        <f>-('формування фін результатів'!J91+'формування фін результатів'!J92+'формування фін результатів'!J96)*1.2-1000</f>
        <v>-9164.9161510624363</v>
      </c>
    </row>
    <row r="19" spans="1:10" x14ac:dyDescent="0.2">
      <c r="A19" s="34" t="s">
        <v>270</v>
      </c>
      <c r="B19" s="29">
        <v>3120</v>
      </c>
      <c r="C19" s="262">
        <v>-4351.8</v>
      </c>
      <c r="D19" s="262">
        <v>-5582.9</v>
      </c>
      <c r="E19" s="56">
        <f t="shared" si="1"/>
        <v>-5582.9</v>
      </c>
      <c r="F19" s="204">
        <f>-'формування фін результатів'!F93*0.795</f>
        <v>-5684.7523446000005</v>
      </c>
      <c r="G19" s="204">
        <f>-('формування фін результатів'!G93*0.795)</f>
        <v>-1888.3135899000001</v>
      </c>
      <c r="H19" s="204">
        <f>-('формування фін результатів'!H93*0.795)</f>
        <v>-1109.77108365</v>
      </c>
      <c r="I19" s="204">
        <f>-('формування фін результатів'!I93*0.795)</f>
        <v>-954.0625824</v>
      </c>
      <c r="J19" s="204">
        <f>-('формування фін результатів'!J93*0.795)</f>
        <v>-1732.60508865</v>
      </c>
    </row>
    <row r="20" spans="1:10" x14ac:dyDescent="0.2">
      <c r="A20" s="34" t="s">
        <v>144</v>
      </c>
      <c r="B20" s="29">
        <v>3130</v>
      </c>
      <c r="C20" s="262">
        <v>-1186.2</v>
      </c>
      <c r="D20" s="262">
        <v>-1545</v>
      </c>
      <c r="E20" s="56">
        <f t="shared" si="1"/>
        <v>-1545</v>
      </c>
      <c r="F20" s="204">
        <f>-'формування фін результатів'!F94</f>
        <v>-1573.1390136</v>
      </c>
      <c r="G20" s="204">
        <f>-('формування фін результатів'!G94)</f>
        <v>-522.55218839999998</v>
      </c>
      <c r="H20" s="204">
        <f>-('формування фін результатів'!H94)</f>
        <v>-307.1064634</v>
      </c>
      <c r="I20" s="204">
        <f>-('формування фін результатів'!I94)</f>
        <v>-264.01731840000002</v>
      </c>
      <c r="J20" s="204">
        <f>-('формування фін результатів'!J94)</f>
        <v>-479.4630434</v>
      </c>
    </row>
    <row r="21" spans="1:10" ht="30" customHeight="1" x14ac:dyDescent="0.2">
      <c r="A21" s="34" t="s">
        <v>271</v>
      </c>
      <c r="B21" s="29">
        <v>3140</v>
      </c>
      <c r="C21" s="262">
        <f>SUM(C22:C24)</f>
        <v>-2000</v>
      </c>
      <c r="D21" s="262">
        <v>0</v>
      </c>
      <c r="E21" s="56">
        <f t="shared" si="1"/>
        <v>0</v>
      </c>
      <c r="F21" s="204">
        <f>F22+F23+F24</f>
        <v>0</v>
      </c>
      <c r="G21" s="204">
        <f t="shared" ref="G21:I21" si="5">G22+G23+G24</f>
        <v>0</v>
      </c>
      <c r="H21" s="204">
        <f t="shared" si="5"/>
        <v>0</v>
      </c>
      <c r="I21" s="204">
        <f t="shared" si="5"/>
        <v>0</v>
      </c>
      <c r="J21" s="204">
        <f>J22+J23+J24</f>
        <v>0</v>
      </c>
    </row>
    <row r="22" spans="1:10" x14ac:dyDescent="0.2">
      <c r="A22" s="34" t="s">
        <v>264</v>
      </c>
      <c r="B22" s="29">
        <v>3141</v>
      </c>
      <c r="C22" s="262">
        <v>0</v>
      </c>
      <c r="D22" s="262">
        <v>0</v>
      </c>
      <c r="E22" s="56">
        <f t="shared" si="1"/>
        <v>0</v>
      </c>
      <c r="F22" s="204">
        <v>0</v>
      </c>
      <c r="G22" s="204">
        <v>0</v>
      </c>
      <c r="H22" s="204">
        <v>0</v>
      </c>
      <c r="I22" s="204">
        <v>0</v>
      </c>
      <c r="J22" s="204">
        <v>0</v>
      </c>
    </row>
    <row r="23" spans="1:10" x14ac:dyDescent="0.2">
      <c r="A23" s="34" t="s">
        <v>265</v>
      </c>
      <c r="B23" s="29">
        <v>3142</v>
      </c>
      <c r="C23" s="262">
        <v>-2000</v>
      </c>
      <c r="D23" s="262">
        <v>0</v>
      </c>
      <c r="E23" s="56">
        <f t="shared" si="1"/>
        <v>0</v>
      </c>
      <c r="F23" s="204">
        <v>0</v>
      </c>
      <c r="G23" s="204">
        <v>0</v>
      </c>
      <c r="H23" s="204">
        <v>0</v>
      </c>
      <c r="I23" s="204">
        <v>0</v>
      </c>
      <c r="J23" s="204">
        <v>0</v>
      </c>
    </row>
    <row r="24" spans="1:10" x14ac:dyDescent="0.2">
      <c r="A24" s="34" t="s">
        <v>266</v>
      </c>
      <c r="B24" s="29">
        <v>3143</v>
      </c>
      <c r="C24" s="262">
        <v>0</v>
      </c>
      <c r="D24" s="262">
        <v>0</v>
      </c>
      <c r="E24" s="56">
        <f t="shared" si="1"/>
        <v>0</v>
      </c>
      <c r="F24" s="204">
        <v>0</v>
      </c>
      <c r="G24" s="204">
        <v>0</v>
      </c>
      <c r="H24" s="204">
        <v>0</v>
      </c>
      <c r="I24" s="204">
        <v>0</v>
      </c>
      <c r="J24" s="204">
        <v>0</v>
      </c>
    </row>
    <row r="25" spans="1:10" ht="25.5" x14ac:dyDescent="0.2">
      <c r="A25" s="34" t="s">
        <v>272</v>
      </c>
      <c r="B25" s="29">
        <v>3150</v>
      </c>
      <c r="C25" s="262">
        <f>SUM(C26:C31)</f>
        <v>-1077.5999999999999</v>
      </c>
      <c r="D25" s="262">
        <f>SUM(D26:D32)</f>
        <v>-1376.6999999999998</v>
      </c>
      <c r="E25" s="56">
        <f>D25</f>
        <v>-1376.6999999999998</v>
      </c>
      <c r="F25" s="204">
        <f>SUM(F26:F32)</f>
        <v>-107.53144941103223</v>
      </c>
      <c r="G25" s="204">
        <f>SUM(G26:G31)</f>
        <v>-464.6712579</v>
      </c>
      <c r="H25" s="204">
        <f t="shared" ref="H25:I25" si="6">SUM(H26:H31)</f>
        <v>-273.70800164999997</v>
      </c>
      <c r="I25" s="204">
        <f t="shared" si="6"/>
        <v>-234.01535039999999</v>
      </c>
      <c r="J25" s="204">
        <f>SUM(J26:J31)</f>
        <v>864.86316053896769</v>
      </c>
    </row>
    <row r="26" spans="1:10" x14ac:dyDescent="0.2">
      <c r="A26" s="34" t="s">
        <v>62</v>
      </c>
      <c r="B26" s="29">
        <v>3151</v>
      </c>
      <c r="C26" s="262">
        <v>0</v>
      </c>
      <c r="D26" s="262">
        <v>-2.8</v>
      </c>
      <c r="E26" s="56">
        <f t="shared" si="1"/>
        <v>-2.8</v>
      </c>
      <c r="F26" s="204">
        <f>SUM(G26:J26)</f>
        <v>1291.3417671889677</v>
      </c>
      <c r="G26" s="204">
        <f>-'розрахунки з бюджетом'!G21</f>
        <v>0</v>
      </c>
      <c r="H26" s="204">
        <f>-'розрахунки з бюджетом'!H21</f>
        <v>0</v>
      </c>
      <c r="I26" s="204">
        <f>-'розрахунки з бюджетом'!I21</f>
        <v>0</v>
      </c>
      <c r="J26" s="204">
        <f>-'розрахунки з бюджетом'!J21</f>
        <v>1291.3417671889677</v>
      </c>
    </row>
    <row r="27" spans="1:10" x14ac:dyDescent="0.2">
      <c r="A27" s="34" t="s">
        <v>273</v>
      </c>
      <c r="B27" s="29">
        <v>3152</v>
      </c>
      <c r="C27" s="262">
        <v>0</v>
      </c>
      <c r="D27" s="262">
        <v>0</v>
      </c>
      <c r="E27" s="56">
        <f t="shared" si="1"/>
        <v>0</v>
      </c>
      <c r="F27" s="204">
        <f>SUM(G27:J27)</f>
        <v>0</v>
      </c>
      <c r="G27" s="204">
        <f>-'розрахунки з бюджетом'!G22</f>
        <v>0</v>
      </c>
      <c r="H27" s="204">
        <f>-'розрахунки з бюджетом'!H22</f>
        <v>0</v>
      </c>
      <c r="I27" s="204">
        <f>-'розрахунки з бюджетом'!I22</f>
        <v>0</v>
      </c>
      <c r="J27" s="204">
        <f>-'розрахунки з бюджетом'!J22</f>
        <v>0</v>
      </c>
    </row>
    <row r="28" spans="1:10" x14ac:dyDescent="0.2">
      <c r="A28" s="34" t="s">
        <v>65</v>
      </c>
      <c r="B28" s="29">
        <v>3153</v>
      </c>
      <c r="C28" s="262">
        <v>0</v>
      </c>
      <c r="D28" s="262">
        <v>0</v>
      </c>
      <c r="E28" s="56">
        <f t="shared" si="1"/>
        <v>0</v>
      </c>
      <c r="F28" s="204">
        <v>0</v>
      </c>
      <c r="G28" s="204">
        <v>0</v>
      </c>
      <c r="H28" s="204">
        <v>0</v>
      </c>
      <c r="I28" s="204">
        <v>0</v>
      </c>
      <c r="J28" s="204">
        <v>0</v>
      </c>
    </row>
    <row r="29" spans="1:10" x14ac:dyDescent="0.2">
      <c r="A29" s="34" t="s">
        <v>274</v>
      </c>
      <c r="B29" s="29">
        <v>3154</v>
      </c>
      <c r="C29" s="262">
        <v>0</v>
      </c>
      <c r="D29" s="262">
        <v>0</v>
      </c>
      <c r="E29" s="56">
        <f t="shared" si="1"/>
        <v>0</v>
      </c>
      <c r="F29" s="204">
        <v>0</v>
      </c>
      <c r="G29" s="204">
        <v>0</v>
      </c>
      <c r="H29" s="204">
        <v>0</v>
      </c>
      <c r="I29" s="204">
        <v>0</v>
      </c>
      <c r="J29" s="204">
        <v>0</v>
      </c>
    </row>
    <row r="30" spans="1:10" x14ac:dyDescent="0.2">
      <c r="A30" s="34" t="s">
        <v>243</v>
      </c>
      <c r="B30" s="29">
        <v>3155</v>
      </c>
      <c r="C30" s="262">
        <v>-991.8</v>
      </c>
      <c r="D30" s="262">
        <v>-1264.0999999999999</v>
      </c>
      <c r="E30" s="56">
        <f t="shared" si="1"/>
        <v>-1264.0999999999999</v>
      </c>
      <c r="F30" s="204">
        <f>SUM(G30:J30)</f>
        <v>-1287.1137383999999</v>
      </c>
      <c r="G30" s="204">
        <f>-'розрахунки з бюджетом'!G31</f>
        <v>-427.54269959999999</v>
      </c>
      <c r="H30" s="204">
        <f>-'розрахунки з бюджетом'!H31</f>
        <v>-251.26892459999999</v>
      </c>
      <c r="I30" s="204">
        <f>-'розрахунки з бюджетом'!I31</f>
        <v>-216.01416959999997</v>
      </c>
      <c r="J30" s="204">
        <f>-'розрахунки з бюджетом'!J31</f>
        <v>-392.28794459999995</v>
      </c>
    </row>
    <row r="31" spans="1:10" ht="25.5" x14ac:dyDescent="0.2">
      <c r="A31" s="34" t="s">
        <v>275</v>
      </c>
      <c r="B31" s="29">
        <v>3156</v>
      </c>
      <c r="C31" s="262">
        <v>-85.8</v>
      </c>
      <c r="D31" s="262">
        <v>-109.8</v>
      </c>
      <c r="E31" s="56">
        <f t="shared" si="1"/>
        <v>-109.8</v>
      </c>
      <c r="F31" s="204">
        <f>SUM(G31:J31)</f>
        <v>-111.7594782</v>
      </c>
      <c r="G31" s="204">
        <f>-'розрахунки з бюджетом'!G29</f>
        <v>-37.128558300000002</v>
      </c>
      <c r="H31" s="204">
        <f>-'розрахунки з бюджетом'!H29</f>
        <v>-22.439077050000002</v>
      </c>
      <c r="I31" s="204">
        <f>-'розрахунки з бюджетом'!I29</f>
        <v>-18.0011808</v>
      </c>
      <c r="J31" s="204">
        <f>-'розрахунки з бюджетом'!J29</f>
        <v>-34.19066205</v>
      </c>
    </row>
    <row r="32" spans="1:10" ht="38.25" x14ac:dyDescent="0.2">
      <c r="A32" s="34" t="s">
        <v>66</v>
      </c>
      <c r="B32" s="29" t="s">
        <v>276</v>
      </c>
      <c r="C32" s="262">
        <v>0</v>
      </c>
      <c r="D32" s="262">
        <v>0</v>
      </c>
      <c r="E32" s="56">
        <f t="shared" si="1"/>
        <v>0</v>
      </c>
      <c r="F32" s="204">
        <f t="shared" ref="F32:F35" si="7">SUM(G32:J32)</f>
        <v>0</v>
      </c>
      <c r="G32" s="204">
        <v>0</v>
      </c>
      <c r="H32" s="204">
        <v>0</v>
      </c>
      <c r="I32" s="204">
        <v>0</v>
      </c>
      <c r="J32" s="204">
        <v>0</v>
      </c>
    </row>
    <row r="33" spans="1:10" ht="72" customHeight="1" x14ac:dyDescent="0.2">
      <c r="A33" s="34" t="s">
        <v>70</v>
      </c>
      <c r="B33" s="29" t="s">
        <v>277</v>
      </c>
      <c r="C33" s="262">
        <v>0</v>
      </c>
      <c r="D33" s="262">
        <v>0</v>
      </c>
      <c r="E33" s="56">
        <f t="shared" si="1"/>
        <v>0</v>
      </c>
      <c r="F33" s="204">
        <f t="shared" si="7"/>
        <v>0</v>
      </c>
      <c r="G33" s="204">
        <v>0</v>
      </c>
      <c r="H33" s="204">
        <v>0</v>
      </c>
      <c r="I33" s="204">
        <v>0</v>
      </c>
      <c r="J33" s="204">
        <v>0</v>
      </c>
    </row>
    <row r="34" spans="1:10" x14ac:dyDescent="0.2">
      <c r="A34" s="34" t="s">
        <v>278</v>
      </c>
      <c r="B34" s="29">
        <v>3157</v>
      </c>
      <c r="C34" s="262">
        <v>0</v>
      </c>
      <c r="D34" s="262">
        <v>-70.2</v>
      </c>
      <c r="E34" s="56">
        <f t="shared" si="1"/>
        <v>-70.2</v>
      </c>
      <c r="F34" s="204">
        <f t="shared" si="7"/>
        <v>-71.506318800000003</v>
      </c>
      <c r="G34" s="204">
        <f>-'формування фін результатів'!G93*0.01</f>
        <v>-23.7523722</v>
      </c>
      <c r="H34" s="204">
        <f>-'формування фін результатів'!H93*0.01</f>
        <v>-13.959384700000001</v>
      </c>
      <c r="I34" s="204">
        <f>-'формування фін результатів'!I93*0.01</f>
        <v>-12.0007872</v>
      </c>
      <c r="J34" s="204">
        <f>-'формування фін результатів'!J93*0.01</f>
        <v>-21.7937747</v>
      </c>
    </row>
    <row r="35" spans="1:10" x14ac:dyDescent="0.2">
      <c r="A35" s="34" t="s">
        <v>279</v>
      </c>
      <c r="B35" s="29">
        <v>3160</v>
      </c>
      <c r="C35" s="262">
        <v>0</v>
      </c>
      <c r="D35" s="262">
        <v>0</v>
      </c>
      <c r="E35" s="56">
        <f t="shared" si="1"/>
        <v>0</v>
      </c>
      <c r="F35" s="204">
        <f t="shared" si="7"/>
        <v>0</v>
      </c>
      <c r="G35" s="204">
        <v>0</v>
      </c>
      <c r="H35" s="204">
        <v>0</v>
      </c>
      <c r="I35" s="204">
        <v>0</v>
      </c>
      <c r="J35" s="204">
        <v>0</v>
      </c>
    </row>
    <row r="36" spans="1:10" s="63" customFormat="1" x14ac:dyDescent="0.2">
      <c r="A36" s="62" t="s">
        <v>280</v>
      </c>
      <c r="B36" s="60">
        <v>3170</v>
      </c>
      <c r="C36" s="55">
        <v>-116.9</v>
      </c>
      <c r="D36" s="55">
        <v>-12</v>
      </c>
      <c r="E36" s="56">
        <f t="shared" si="1"/>
        <v>-12</v>
      </c>
      <c r="F36" s="204">
        <f>SUM(G36:J36)</f>
        <v>-12</v>
      </c>
      <c r="G36" s="204">
        <v>-3</v>
      </c>
      <c r="H36" s="204">
        <v>-3</v>
      </c>
      <c r="I36" s="204">
        <v>-3</v>
      </c>
      <c r="J36" s="204">
        <v>-3</v>
      </c>
    </row>
    <row r="37" spans="1:10" s="64" customFormat="1" ht="25.5" x14ac:dyDescent="0.2">
      <c r="A37" s="31" t="s">
        <v>77</v>
      </c>
      <c r="B37" s="61">
        <v>3195</v>
      </c>
      <c r="C37" s="65">
        <f>C6+C17</f>
        <v>19293.399999999998</v>
      </c>
      <c r="D37" s="65">
        <f>D6+D17</f>
        <v>1259.8999999999978</v>
      </c>
      <c r="E37" s="59">
        <f>D37</f>
        <v>1259.8999999999978</v>
      </c>
      <c r="F37" s="203">
        <f>F6+F17</f>
        <v>-4821.5091686841479</v>
      </c>
      <c r="G37" s="203">
        <f t="shared" ref="G37:J37" si="8">G6+G17</f>
        <v>-455.80100751185091</v>
      </c>
      <c r="H37" s="203">
        <f t="shared" si="8"/>
        <v>-2937.4688374988318</v>
      </c>
      <c r="I37" s="203">
        <f t="shared" si="8"/>
        <v>-1956.7674864000001</v>
      </c>
      <c r="J37" s="203">
        <f t="shared" si="8"/>
        <v>528.52816272653399</v>
      </c>
    </row>
    <row r="38" spans="1:10" ht="31.5" customHeight="1" x14ac:dyDescent="0.2">
      <c r="A38" s="287" t="s">
        <v>281</v>
      </c>
      <c r="B38" s="288"/>
      <c r="C38" s="288"/>
      <c r="D38" s="288"/>
      <c r="E38" s="288"/>
      <c r="F38" s="288"/>
      <c r="G38" s="288"/>
      <c r="H38" s="288"/>
      <c r="I38" s="288"/>
      <c r="J38" s="289"/>
    </row>
    <row r="39" spans="1:10" s="64" customFormat="1" ht="25.5" x14ac:dyDescent="0.2">
      <c r="A39" s="31" t="s">
        <v>282</v>
      </c>
      <c r="B39" s="61">
        <v>3200</v>
      </c>
      <c r="C39" s="65">
        <f>C40+C42+C43+C44+C45+C46</f>
        <v>3966</v>
      </c>
      <c r="D39" s="65">
        <f>D40+D42+D43+D44+D45+D46</f>
        <v>0</v>
      </c>
      <c r="E39" s="56">
        <f>D39</f>
        <v>0</v>
      </c>
      <c r="F39" s="203">
        <f>SUM(G39:J39)</f>
        <v>0</v>
      </c>
      <c r="G39" s="203">
        <f t="shared" ref="G39:J39" si="9">G40+G42+G43+G44+G45+G46</f>
        <v>0</v>
      </c>
      <c r="H39" s="203">
        <f t="shared" si="9"/>
        <v>0</v>
      </c>
      <c r="I39" s="203">
        <f t="shared" si="9"/>
        <v>0</v>
      </c>
      <c r="J39" s="203">
        <f t="shared" si="9"/>
        <v>0</v>
      </c>
    </row>
    <row r="40" spans="1:10" ht="25.5" x14ac:dyDescent="0.2">
      <c r="A40" s="34" t="s">
        <v>283</v>
      </c>
      <c r="B40" s="29">
        <v>3210</v>
      </c>
      <c r="C40" s="262">
        <v>0</v>
      </c>
      <c r="D40" s="262">
        <v>0</v>
      </c>
      <c r="E40" s="56">
        <f t="shared" ref="E40:E56" si="10">D40</f>
        <v>0</v>
      </c>
      <c r="F40" s="204">
        <f t="shared" ref="F40:F45" si="11">SUM(G40:J40)</f>
        <v>0</v>
      </c>
      <c r="G40" s="204">
        <v>0</v>
      </c>
      <c r="H40" s="204">
        <v>0</v>
      </c>
      <c r="I40" s="204">
        <v>0</v>
      </c>
      <c r="J40" s="204">
        <v>0</v>
      </c>
    </row>
    <row r="41" spans="1:10" ht="25.5" x14ac:dyDescent="0.2">
      <c r="A41" s="34" t="s">
        <v>284</v>
      </c>
      <c r="B41" s="29">
        <v>3215</v>
      </c>
      <c r="C41" s="262">
        <v>0</v>
      </c>
      <c r="D41" s="262">
        <v>0</v>
      </c>
      <c r="E41" s="56">
        <f t="shared" si="10"/>
        <v>0</v>
      </c>
      <c r="F41" s="204">
        <f t="shared" si="11"/>
        <v>0</v>
      </c>
      <c r="G41" s="204">
        <v>0</v>
      </c>
      <c r="H41" s="204">
        <v>0</v>
      </c>
      <c r="I41" s="204">
        <v>0</v>
      </c>
      <c r="J41" s="204">
        <v>0</v>
      </c>
    </row>
    <row r="42" spans="1:10" ht="25.5" x14ac:dyDescent="0.2">
      <c r="A42" s="34" t="s">
        <v>285</v>
      </c>
      <c r="B42" s="29">
        <v>3220</v>
      </c>
      <c r="C42" s="262">
        <v>0</v>
      </c>
      <c r="D42" s="262">
        <v>0</v>
      </c>
      <c r="E42" s="56">
        <f t="shared" si="10"/>
        <v>0</v>
      </c>
      <c r="F42" s="204">
        <f t="shared" si="11"/>
        <v>0</v>
      </c>
      <c r="G42" s="204">
        <v>0</v>
      </c>
      <c r="H42" s="204">
        <v>0</v>
      </c>
      <c r="I42" s="204">
        <v>0</v>
      </c>
      <c r="J42" s="204">
        <v>0</v>
      </c>
    </row>
    <row r="43" spans="1:10" x14ac:dyDescent="0.2">
      <c r="A43" s="34" t="s">
        <v>286</v>
      </c>
      <c r="B43" s="29">
        <v>3225</v>
      </c>
      <c r="C43" s="262">
        <v>3966</v>
      </c>
      <c r="D43" s="262">
        <f>'формування фін результатів'!D64</f>
        <v>0</v>
      </c>
      <c r="E43" s="56">
        <f t="shared" si="10"/>
        <v>0</v>
      </c>
      <c r="F43" s="204">
        <f t="shared" si="11"/>
        <v>0</v>
      </c>
      <c r="G43" s="204">
        <f>'формування фін результатів'!G64</f>
        <v>0</v>
      </c>
      <c r="H43" s="204">
        <f>'формування фін результатів'!H64</f>
        <v>0</v>
      </c>
      <c r="I43" s="204">
        <f>'формування фін результатів'!I64</f>
        <v>0</v>
      </c>
      <c r="J43" s="204">
        <f>'формування фін результатів'!J64</f>
        <v>0</v>
      </c>
    </row>
    <row r="44" spans="1:10" x14ac:dyDescent="0.2">
      <c r="A44" s="34" t="s">
        <v>287</v>
      </c>
      <c r="B44" s="29">
        <v>3230</v>
      </c>
      <c r="C44" s="262">
        <v>0</v>
      </c>
      <c r="D44" s="262">
        <v>0</v>
      </c>
      <c r="E44" s="56">
        <f t="shared" si="10"/>
        <v>0</v>
      </c>
      <c r="F44" s="204">
        <f t="shared" si="11"/>
        <v>0</v>
      </c>
      <c r="G44" s="204">
        <v>0</v>
      </c>
      <c r="H44" s="204">
        <v>0</v>
      </c>
      <c r="I44" s="204">
        <v>0</v>
      </c>
      <c r="J44" s="204">
        <v>0</v>
      </c>
    </row>
    <row r="45" spans="1:10" x14ac:dyDescent="0.2">
      <c r="A45" s="34" t="s">
        <v>288</v>
      </c>
      <c r="B45" s="29">
        <v>3235</v>
      </c>
      <c r="C45" s="262">
        <v>0</v>
      </c>
      <c r="D45" s="262">
        <v>0</v>
      </c>
      <c r="E45" s="56">
        <f t="shared" si="10"/>
        <v>0</v>
      </c>
      <c r="F45" s="204">
        <f t="shared" si="11"/>
        <v>0</v>
      </c>
      <c r="G45" s="204">
        <v>0</v>
      </c>
      <c r="H45" s="204">
        <v>0</v>
      </c>
      <c r="I45" s="204">
        <v>0</v>
      </c>
      <c r="J45" s="204">
        <v>0</v>
      </c>
    </row>
    <row r="46" spans="1:10" x14ac:dyDescent="0.2">
      <c r="A46" s="34" t="s">
        <v>267</v>
      </c>
      <c r="B46" s="29">
        <v>3240</v>
      </c>
      <c r="C46" s="262">
        <v>0</v>
      </c>
      <c r="D46" s="262">
        <v>0</v>
      </c>
      <c r="E46" s="56">
        <f t="shared" si="10"/>
        <v>0</v>
      </c>
      <c r="F46" s="204">
        <f>SUM(G46:J46)</f>
        <v>0</v>
      </c>
      <c r="G46" s="204">
        <v>0</v>
      </c>
      <c r="H46" s="204">
        <v>0</v>
      </c>
      <c r="I46" s="204">
        <v>0</v>
      </c>
      <c r="J46" s="204">
        <v>0</v>
      </c>
    </row>
    <row r="47" spans="1:10" s="64" customFormat="1" ht="25.5" x14ac:dyDescent="0.2">
      <c r="A47" s="31" t="s">
        <v>289</v>
      </c>
      <c r="B47" s="61">
        <v>3255</v>
      </c>
      <c r="C47" s="65">
        <f>SUM(C48+C50+C54+C55)</f>
        <v>-36073</v>
      </c>
      <c r="D47" s="65">
        <f>SUM(D48+D50+D54+D55)</f>
        <v>0</v>
      </c>
      <c r="E47" s="59">
        <f t="shared" si="10"/>
        <v>0</v>
      </c>
      <c r="F47" s="203">
        <f>SUM(G47:J47)</f>
        <v>0</v>
      </c>
      <c r="G47" s="203">
        <f t="shared" ref="G47:J47" si="12">SUM(G48+G50+G54+G55)</f>
        <v>0</v>
      </c>
      <c r="H47" s="203">
        <f t="shared" si="12"/>
        <v>0</v>
      </c>
      <c r="I47" s="203">
        <f t="shared" si="12"/>
        <v>0</v>
      </c>
      <c r="J47" s="203">
        <f t="shared" si="12"/>
        <v>0</v>
      </c>
    </row>
    <row r="48" spans="1:10" ht="25.5" x14ac:dyDescent="0.2">
      <c r="A48" s="34" t="s">
        <v>290</v>
      </c>
      <c r="B48" s="29">
        <v>3260</v>
      </c>
      <c r="C48" s="262">
        <v>0</v>
      </c>
      <c r="D48" s="262">
        <v>0</v>
      </c>
      <c r="E48" s="56">
        <f t="shared" si="10"/>
        <v>0</v>
      </c>
      <c r="F48" s="204">
        <f>SUM(G48:J48)</f>
        <v>0</v>
      </c>
      <c r="G48" s="204">
        <v>0</v>
      </c>
      <c r="H48" s="204">
        <f t="shared" ref="H48:J48" si="13">SUM(H49:H51)</f>
        <v>0</v>
      </c>
      <c r="I48" s="204">
        <f t="shared" si="13"/>
        <v>0</v>
      </c>
      <c r="J48" s="204">
        <f t="shared" si="13"/>
        <v>0</v>
      </c>
    </row>
    <row r="49" spans="1:10" ht="25.5" x14ac:dyDescent="0.2">
      <c r="A49" s="34" t="s">
        <v>291</v>
      </c>
      <c r="B49" s="29">
        <v>3265</v>
      </c>
      <c r="C49" s="262">
        <v>0</v>
      </c>
      <c r="D49" s="262">
        <v>0</v>
      </c>
      <c r="E49" s="56">
        <f t="shared" si="10"/>
        <v>0</v>
      </c>
      <c r="F49" s="204">
        <f t="shared" ref="F49:F55" si="14">SUM(G49:J49)</f>
        <v>0</v>
      </c>
      <c r="G49" s="204">
        <v>0</v>
      </c>
      <c r="H49" s="204">
        <v>0</v>
      </c>
      <c r="I49" s="204">
        <v>0</v>
      </c>
      <c r="J49" s="204">
        <v>0</v>
      </c>
    </row>
    <row r="50" spans="1:10" ht="25.5" x14ac:dyDescent="0.2">
      <c r="A50" s="34" t="s">
        <v>292</v>
      </c>
      <c r="B50" s="29">
        <v>3270</v>
      </c>
      <c r="C50" s="262">
        <f>SUM(C51:C53)</f>
        <v>-36073</v>
      </c>
      <c r="D50" s="262">
        <f>SUM(D51:D53)</f>
        <v>0</v>
      </c>
      <c r="E50" s="56">
        <f t="shared" si="10"/>
        <v>0</v>
      </c>
      <c r="F50" s="204">
        <f t="shared" si="14"/>
        <v>0</v>
      </c>
      <c r="G50" s="204">
        <f>(SUM(G51:G53))</f>
        <v>0</v>
      </c>
      <c r="H50" s="204">
        <f t="shared" ref="H50:J50" si="15">SUM(H51:H53)</f>
        <v>0</v>
      </c>
      <c r="I50" s="204">
        <f t="shared" si="15"/>
        <v>0</v>
      </c>
      <c r="J50" s="204">
        <f t="shared" si="15"/>
        <v>0</v>
      </c>
    </row>
    <row r="51" spans="1:10" ht="25.5" x14ac:dyDescent="0.2">
      <c r="A51" s="34" t="s">
        <v>293</v>
      </c>
      <c r="B51" s="29" t="s">
        <v>294</v>
      </c>
      <c r="C51" s="262">
        <v>-15377.5</v>
      </c>
      <c r="D51" s="262">
        <v>0</v>
      </c>
      <c r="E51" s="56">
        <f t="shared" si="10"/>
        <v>0</v>
      </c>
      <c r="F51" s="204">
        <f t="shared" si="14"/>
        <v>0</v>
      </c>
      <c r="G51" s="204">
        <f>-'джерела кап інвест'!I9</f>
        <v>0</v>
      </c>
      <c r="H51" s="204">
        <f>-'джерела кап інвест'!J9</f>
        <v>0</v>
      </c>
      <c r="I51" s="204">
        <f>-'джерела кап інвест'!K9</f>
        <v>0</v>
      </c>
      <c r="J51" s="204">
        <f>-'джерела кап інвест'!L9</f>
        <v>0</v>
      </c>
    </row>
    <row r="52" spans="1:10" x14ac:dyDescent="0.2">
      <c r="A52" s="34" t="s">
        <v>295</v>
      </c>
      <c r="B52" s="29" t="s">
        <v>296</v>
      </c>
      <c r="C52" s="262">
        <v>-20695.5</v>
      </c>
      <c r="D52" s="262">
        <v>0</v>
      </c>
      <c r="E52" s="56">
        <f t="shared" si="10"/>
        <v>0</v>
      </c>
      <c r="F52" s="204">
        <f t="shared" si="14"/>
        <v>0</v>
      </c>
      <c r="G52" s="204">
        <f>-('джерела кап інвест'!I8+'джерела кап інвест'!I7)</f>
        <v>0</v>
      </c>
      <c r="H52" s="204">
        <f>-('джерела кап інвест'!J8+'джерела кап інвест'!J7)</f>
        <v>0</v>
      </c>
      <c r="I52" s="204">
        <f>-('джерела кап інвест'!K8+'джерела кап інвест'!K7)</f>
        <v>0</v>
      </c>
      <c r="J52" s="204">
        <f>-('джерела кап інвест'!L8+'джерела кап інвест'!L7)</f>
        <v>0</v>
      </c>
    </row>
    <row r="53" spans="1:10" ht="25.5" x14ac:dyDescent="0.2">
      <c r="A53" s="34" t="s">
        <v>297</v>
      </c>
      <c r="B53" s="29" t="s">
        <v>298</v>
      </c>
      <c r="C53" s="262">
        <v>0</v>
      </c>
      <c r="D53" s="262">
        <v>0</v>
      </c>
      <c r="E53" s="56">
        <f t="shared" si="10"/>
        <v>0</v>
      </c>
      <c r="F53" s="204">
        <f>SUM(G53:J53)</f>
        <v>0</v>
      </c>
      <c r="G53" s="204">
        <v>0</v>
      </c>
      <c r="H53" s="204">
        <v>0</v>
      </c>
      <c r="I53" s="204">
        <v>0</v>
      </c>
      <c r="J53" s="204">
        <v>0</v>
      </c>
    </row>
    <row r="54" spans="1:10" x14ac:dyDescent="0.2">
      <c r="A54" s="34" t="s">
        <v>299</v>
      </c>
      <c r="B54" s="29">
        <v>3280</v>
      </c>
      <c r="C54" s="262">
        <v>0</v>
      </c>
      <c r="D54" s="262">
        <v>0</v>
      </c>
      <c r="E54" s="56">
        <f t="shared" si="10"/>
        <v>0</v>
      </c>
      <c r="F54" s="204">
        <f t="shared" si="14"/>
        <v>0</v>
      </c>
      <c r="G54" s="204">
        <v>0</v>
      </c>
      <c r="H54" s="204">
        <v>0</v>
      </c>
      <c r="I54" s="204">
        <v>0</v>
      </c>
      <c r="J54" s="204">
        <v>0</v>
      </c>
    </row>
    <row r="55" spans="1:10" x14ac:dyDescent="0.2">
      <c r="A55" s="34" t="s">
        <v>278</v>
      </c>
      <c r="B55" s="29">
        <v>3290</v>
      </c>
      <c r="C55" s="262">
        <v>0</v>
      </c>
      <c r="D55" s="262">
        <v>0</v>
      </c>
      <c r="E55" s="56">
        <f t="shared" si="10"/>
        <v>0</v>
      </c>
      <c r="F55" s="204">
        <f t="shared" si="14"/>
        <v>0</v>
      </c>
      <c r="G55" s="204">
        <v>0</v>
      </c>
      <c r="H55" s="204">
        <v>0</v>
      </c>
      <c r="I55" s="204">
        <v>0</v>
      </c>
      <c r="J55" s="204">
        <v>0</v>
      </c>
    </row>
    <row r="56" spans="1:10" ht="25.5" x14ac:dyDescent="0.2">
      <c r="A56" s="31" t="s">
        <v>78</v>
      </c>
      <c r="B56" s="32">
        <v>3295</v>
      </c>
      <c r="C56" s="150">
        <f>C39+C47</f>
        <v>-32107</v>
      </c>
      <c r="D56" s="150">
        <f>D39+D47</f>
        <v>0</v>
      </c>
      <c r="E56" s="59">
        <f t="shared" si="10"/>
        <v>0</v>
      </c>
      <c r="F56" s="203">
        <f>F39+F47</f>
        <v>0</v>
      </c>
      <c r="G56" s="203">
        <f>G39+G47</f>
        <v>0</v>
      </c>
      <c r="H56" s="203">
        <f t="shared" ref="H56:J56" si="16">H39-H47</f>
        <v>0</v>
      </c>
      <c r="I56" s="203">
        <f t="shared" si="16"/>
        <v>0</v>
      </c>
      <c r="J56" s="203">
        <f t="shared" si="16"/>
        <v>0</v>
      </c>
    </row>
    <row r="57" spans="1:10" ht="31.5" customHeight="1" x14ac:dyDescent="0.2">
      <c r="A57" s="287" t="s">
        <v>300</v>
      </c>
      <c r="B57" s="288"/>
      <c r="C57" s="288"/>
      <c r="D57" s="288"/>
      <c r="E57" s="288"/>
      <c r="F57" s="288"/>
      <c r="G57" s="288"/>
      <c r="H57" s="288"/>
      <c r="I57" s="288"/>
      <c r="J57" s="289"/>
    </row>
    <row r="58" spans="1:10" ht="25.5" x14ac:dyDescent="0.2">
      <c r="A58" s="31" t="s">
        <v>301</v>
      </c>
      <c r="B58" s="61">
        <v>3300</v>
      </c>
      <c r="C58" s="65">
        <f>C59+C60+C64</f>
        <v>0</v>
      </c>
      <c r="D58" s="65">
        <f>D59+D60+D64</f>
        <v>0</v>
      </c>
      <c r="E58" s="65">
        <f>D58</f>
        <v>0</v>
      </c>
      <c r="F58" s="203">
        <f>SUM(G58:J58)</f>
        <v>0</v>
      </c>
      <c r="G58" s="203">
        <f>G59+G60+G64</f>
        <v>0</v>
      </c>
      <c r="H58" s="203">
        <f t="shared" ref="H58:J58" si="17">H59+H60+H64</f>
        <v>0</v>
      </c>
      <c r="I58" s="203">
        <f t="shared" si="17"/>
        <v>0</v>
      </c>
      <c r="J58" s="203">
        <f t="shared" si="17"/>
        <v>0</v>
      </c>
    </row>
    <row r="59" spans="1:10" x14ac:dyDescent="0.2">
      <c r="A59" s="34" t="s">
        <v>302</v>
      </c>
      <c r="B59" s="29">
        <v>3305</v>
      </c>
      <c r="C59" s="262">
        <v>0</v>
      </c>
      <c r="D59" s="262">
        <v>0</v>
      </c>
      <c r="E59" s="55">
        <f t="shared" ref="E59:E79" si="18">D59</f>
        <v>0</v>
      </c>
      <c r="F59" s="204">
        <f t="shared" ref="F59:F78" si="19">SUM(G59:J59)</f>
        <v>0</v>
      </c>
      <c r="G59" s="204">
        <v>0</v>
      </c>
      <c r="H59" s="204">
        <v>0</v>
      </c>
      <c r="I59" s="204">
        <v>0</v>
      </c>
      <c r="J59" s="204">
        <v>0</v>
      </c>
    </row>
    <row r="60" spans="1:10" ht="25.5" x14ac:dyDescent="0.2">
      <c r="A60" s="34" t="s">
        <v>303</v>
      </c>
      <c r="B60" s="29">
        <v>3310</v>
      </c>
      <c r="C60" s="262">
        <f>C61+C62+C63</f>
        <v>0</v>
      </c>
      <c r="D60" s="262">
        <f>D61+D62+D63</f>
        <v>0</v>
      </c>
      <c r="E60" s="55">
        <f t="shared" si="18"/>
        <v>0</v>
      </c>
      <c r="F60" s="204">
        <f t="shared" si="19"/>
        <v>0</v>
      </c>
      <c r="G60" s="204">
        <f t="shared" ref="G60:J60" si="20">G61+G62+G63</f>
        <v>0</v>
      </c>
      <c r="H60" s="204">
        <f t="shared" si="20"/>
        <v>0</v>
      </c>
      <c r="I60" s="204">
        <f t="shared" si="20"/>
        <v>0</v>
      </c>
      <c r="J60" s="204">
        <f t="shared" si="20"/>
        <v>0</v>
      </c>
    </row>
    <row r="61" spans="1:10" x14ac:dyDescent="0.2">
      <c r="A61" s="34" t="s">
        <v>264</v>
      </c>
      <c r="B61" s="29">
        <v>3311</v>
      </c>
      <c r="C61" s="262">
        <v>0</v>
      </c>
      <c r="D61" s="262">
        <v>0</v>
      </c>
      <c r="E61" s="55">
        <f t="shared" si="18"/>
        <v>0</v>
      </c>
      <c r="F61" s="204">
        <f t="shared" si="19"/>
        <v>0</v>
      </c>
      <c r="G61" s="204">
        <v>0</v>
      </c>
      <c r="H61" s="204">
        <v>0</v>
      </c>
      <c r="I61" s="204">
        <v>0</v>
      </c>
      <c r="J61" s="204">
        <v>0</v>
      </c>
    </row>
    <row r="62" spans="1:10" x14ac:dyDescent="0.2">
      <c r="A62" s="34" t="s">
        <v>265</v>
      </c>
      <c r="B62" s="29">
        <v>3312</v>
      </c>
      <c r="C62" s="262">
        <v>0</v>
      </c>
      <c r="D62" s="262">
        <v>0</v>
      </c>
      <c r="E62" s="55">
        <f t="shared" si="18"/>
        <v>0</v>
      </c>
      <c r="F62" s="204">
        <f t="shared" si="19"/>
        <v>0</v>
      </c>
      <c r="G62" s="204">
        <v>0</v>
      </c>
      <c r="H62" s="204">
        <v>0</v>
      </c>
      <c r="I62" s="204">
        <v>0</v>
      </c>
      <c r="J62" s="204">
        <v>0</v>
      </c>
    </row>
    <row r="63" spans="1:10" x14ac:dyDescent="0.2">
      <c r="A63" s="34" t="s">
        <v>266</v>
      </c>
      <c r="B63" s="29">
        <v>3313</v>
      </c>
      <c r="C63" s="262">
        <v>0</v>
      </c>
      <c r="D63" s="262">
        <v>0</v>
      </c>
      <c r="E63" s="55">
        <f t="shared" si="18"/>
        <v>0</v>
      </c>
      <c r="F63" s="204">
        <f t="shared" si="19"/>
        <v>0</v>
      </c>
      <c r="G63" s="204">
        <v>0</v>
      </c>
      <c r="H63" s="204">
        <v>0</v>
      </c>
      <c r="I63" s="204">
        <v>0</v>
      </c>
      <c r="J63" s="204">
        <v>0</v>
      </c>
    </row>
    <row r="64" spans="1:10" x14ac:dyDescent="0.2">
      <c r="A64" s="34" t="s">
        <v>267</v>
      </c>
      <c r="B64" s="29">
        <v>3320</v>
      </c>
      <c r="C64" s="262">
        <v>0</v>
      </c>
      <c r="D64" s="262">
        <v>0</v>
      </c>
      <c r="E64" s="55">
        <f t="shared" si="18"/>
        <v>0</v>
      </c>
      <c r="F64" s="204">
        <f t="shared" si="19"/>
        <v>0</v>
      </c>
      <c r="G64" s="204">
        <v>0</v>
      </c>
      <c r="H64" s="204">
        <v>0</v>
      </c>
      <c r="I64" s="204">
        <v>0</v>
      </c>
      <c r="J64" s="204">
        <v>0</v>
      </c>
    </row>
    <row r="65" spans="1:10" ht="25.5" x14ac:dyDescent="0.2">
      <c r="A65" s="31" t="s">
        <v>304</v>
      </c>
      <c r="B65" s="61">
        <v>3330</v>
      </c>
      <c r="C65" s="65">
        <f>C66+C67+C71+C72+C73+C74</f>
        <v>0</v>
      </c>
      <c r="D65" s="65">
        <f>D66+D67+D71+D72+D73+D74</f>
        <v>0</v>
      </c>
      <c r="E65" s="65">
        <f t="shared" si="18"/>
        <v>0</v>
      </c>
      <c r="F65" s="203">
        <f t="shared" si="19"/>
        <v>0</v>
      </c>
      <c r="G65" s="203">
        <f t="shared" ref="G65:J65" si="21">G66+G67+G71+G72+G73+G74</f>
        <v>0</v>
      </c>
      <c r="H65" s="203">
        <f t="shared" si="21"/>
        <v>0</v>
      </c>
      <c r="I65" s="203">
        <f t="shared" si="21"/>
        <v>0</v>
      </c>
      <c r="J65" s="203">
        <f t="shared" si="21"/>
        <v>0</v>
      </c>
    </row>
    <row r="66" spans="1:10" x14ac:dyDescent="0.2">
      <c r="A66" s="34" t="s">
        <v>305</v>
      </c>
      <c r="B66" s="29">
        <v>3335</v>
      </c>
      <c r="C66" s="262">
        <v>0</v>
      </c>
      <c r="D66" s="262">
        <v>0</v>
      </c>
      <c r="E66" s="55">
        <f t="shared" si="18"/>
        <v>0</v>
      </c>
      <c r="F66" s="204">
        <f t="shared" si="19"/>
        <v>0</v>
      </c>
      <c r="G66" s="204">
        <v>0</v>
      </c>
      <c r="H66" s="204">
        <v>0</v>
      </c>
      <c r="I66" s="204">
        <v>0</v>
      </c>
      <c r="J66" s="204">
        <v>0</v>
      </c>
    </row>
    <row r="67" spans="1:10" ht="25.5" x14ac:dyDescent="0.2">
      <c r="A67" s="34" t="s">
        <v>306</v>
      </c>
      <c r="B67" s="29">
        <v>3340</v>
      </c>
      <c r="C67" s="262">
        <f>C68+C69+C70</f>
        <v>0</v>
      </c>
      <c r="D67" s="262">
        <f>D68+D69+D70</f>
        <v>0</v>
      </c>
      <c r="E67" s="55">
        <f t="shared" si="18"/>
        <v>0</v>
      </c>
      <c r="F67" s="204">
        <f t="shared" si="19"/>
        <v>0</v>
      </c>
      <c r="G67" s="204">
        <v>0</v>
      </c>
      <c r="H67" s="204">
        <v>0</v>
      </c>
      <c r="I67" s="204">
        <v>0</v>
      </c>
      <c r="J67" s="204">
        <v>0</v>
      </c>
    </row>
    <row r="68" spans="1:10" x14ac:dyDescent="0.2">
      <c r="A68" s="34" t="s">
        <v>264</v>
      </c>
      <c r="B68" s="29">
        <v>3341</v>
      </c>
      <c r="C68" s="262">
        <v>0</v>
      </c>
      <c r="D68" s="262">
        <v>0</v>
      </c>
      <c r="E68" s="55">
        <f t="shared" si="18"/>
        <v>0</v>
      </c>
      <c r="F68" s="204">
        <f t="shared" si="19"/>
        <v>0</v>
      </c>
      <c r="G68" s="204">
        <v>0</v>
      </c>
      <c r="H68" s="204">
        <v>0</v>
      </c>
      <c r="I68" s="204">
        <v>0</v>
      </c>
      <c r="J68" s="204">
        <v>0</v>
      </c>
    </row>
    <row r="69" spans="1:10" x14ac:dyDescent="0.2">
      <c r="A69" s="34" t="s">
        <v>265</v>
      </c>
      <c r="B69" s="29">
        <v>3342</v>
      </c>
      <c r="C69" s="262">
        <v>0</v>
      </c>
      <c r="D69" s="262">
        <v>0</v>
      </c>
      <c r="E69" s="55">
        <f t="shared" si="18"/>
        <v>0</v>
      </c>
      <c r="F69" s="204">
        <f t="shared" si="19"/>
        <v>0</v>
      </c>
      <c r="G69" s="204">
        <v>0</v>
      </c>
      <c r="H69" s="204">
        <v>0</v>
      </c>
      <c r="I69" s="204">
        <v>0</v>
      </c>
      <c r="J69" s="204">
        <v>0</v>
      </c>
    </row>
    <row r="70" spans="1:10" x14ac:dyDescent="0.2">
      <c r="A70" s="34" t="s">
        <v>266</v>
      </c>
      <c r="B70" s="29">
        <v>3343</v>
      </c>
      <c r="C70" s="262">
        <v>0</v>
      </c>
      <c r="D70" s="262">
        <v>0</v>
      </c>
      <c r="E70" s="55">
        <f t="shared" si="18"/>
        <v>0</v>
      </c>
      <c r="F70" s="204">
        <f t="shared" si="19"/>
        <v>0</v>
      </c>
      <c r="G70" s="204">
        <v>0</v>
      </c>
      <c r="H70" s="204">
        <v>0</v>
      </c>
      <c r="I70" s="204">
        <v>0</v>
      </c>
      <c r="J70" s="204">
        <v>0</v>
      </c>
    </row>
    <row r="71" spans="1:10" x14ac:dyDescent="0.2">
      <c r="A71" s="34" t="s">
        <v>307</v>
      </c>
      <c r="B71" s="29">
        <v>3350</v>
      </c>
      <c r="C71" s="262">
        <v>0</v>
      </c>
      <c r="D71" s="262">
        <v>0</v>
      </c>
      <c r="E71" s="55">
        <f t="shared" si="18"/>
        <v>0</v>
      </c>
      <c r="F71" s="204">
        <f t="shared" si="19"/>
        <v>0</v>
      </c>
      <c r="G71" s="204">
        <v>0</v>
      </c>
      <c r="H71" s="204">
        <v>0</v>
      </c>
      <c r="I71" s="204">
        <v>0</v>
      </c>
      <c r="J71" s="204">
        <v>0</v>
      </c>
    </row>
    <row r="72" spans="1:10" x14ac:dyDescent="0.2">
      <c r="A72" s="34" t="s">
        <v>308</v>
      </c>
      <c r="B72" s="29">
        <v>3360</v>
      </c>
      <c r="C72" s="262">
        <v>0</v>
      </c>
      <c r="D72" s="262">
        <v>0</v>
      </c>
      <c r="E72" s="55">
        <f t="shared" si="18"/>
        <v>0</v>
      </c>
      <c r="F72" s="204">
        <f t="shared" si="19"/>
        <v>0</v>
      </c>
      <c r="G72" s="204">
        <v>0</v>
      </c>
      <c r="H72" s="204">
        <v>0</v>
      </c>
      <c r="I72" s="204">
        <v>0</v>
      </c>
      <c r="J72" s="204">
        <v>0</v>
      </c>
    </row>
    <row r="73" spans="1:10" ht="25.5" x14ac:dyDescent="0.2">
      <c r="A73" s="34" t="s">
        <v>309</v>
      </c>
      <c r="B73" s="29">
        <v>3370</v>
      </c>
      <c r="C73" s="262">
        <v>0</v>
      </c>
      <c r="D73" s="262">
        <v>0</v>
      </c>
      <c r="E73" s="55">
        <f t="shared" si="18"/>
        <v>0</v>
      </c>
      <c r="F73" s="204">
        <f t="shared" si="19"/>
        <v>0</v>
      </c>
      <c r="G73" s="204">
        <v>0</v>
      </c>
      <c r="H73" s="204">
        <v>0</v>
      </c>
      <c r="I73" s="204">
        <v>0</v>
      </c>
      <c r="J73" s="204">
        <v>0</v>
      </c>
    </row>
    <row r="74" spans="1:10" x14ac:dyDescent="0.2">
      <c r="A74" s="34" t="s">
        <v>278</v>
      </c>
      <c r="B74" s="29">
        <v>3380</v>
      </c>
      <c r="C74" s="262">
        <v>0</v>
      </c>
      <c r="D74" s="262">
        <v>0</v>
      </c>
      <c r="E74" s="55">
        <f t="shared" si="18"/>
        <v>0</v>
      </c>
      <c r="F74" s="204">
        <f t="shared" si="19"/>
        <v>0</v>
      </c>
      <c r="G74" s="204">
        <v>0</v>
      </c>
      <c r="H74" s="204">
        <v>0</v>
      </c>
      <c r="I74" s="204">
        <v>0</v>
      </c>
      <c r="J74" s="204">
        <v>0</v>
      </c>
    </row>
    <row r="75" spans="1:10" s="64" customFormat="1" ht="25.5" x14ac:dyDescent="0.2">
      <c r="A75" s="52" t="s">
        <v>310</v>
      </c>
      <c r="B75" s="61">
        <v>3395</v>
      </c>
      <c r="C75" s="65">
        <f>C58+C65</f>
        <v>0</v>
      </c>
      <c r="D75" s="65">
        <f>D58+D65</f>
        <v>0</v>
      </c>
      <c r="E75" s="65">
        <f t="shared" si="18"/>
        <v>0</v>
      </c>
      <c r="F75" s="203">
        <f t="shared" si="19"/>
        <v>0</v>
      </c>
      <c r="G75" s="203">
        <f t="shared" ref="G75:J75" si="22">G58+G65</f>
        <v>0</v>
      </c>
      <c r="H75" s="203">
        <f t="shared" si="22"/>
        <v>0</v>
      </c>
      <c r="I75" s="203">
        <f t="shared" si="22"/>
        <v>0</v>
      </c>
      <c r="J75" s="203">
        <f t="shared" si="22"/>
        <v>0</v>
      </c>
    </row>
    <row r="76" spans="1:10" s="64" customFormat="1" ht="25.5" x14ac:dyDescent="0.2">
      <c r="A76" s="52" t="s">
        <v>311</v>
      </c>
      <c r="B76" s="61">
        <v>3400</v>
      </c>
      <c r="C76" s="65">
        <f>C56+C37+C75</f>
        <v>-12813.600000000002</v>
      </c>
      <c r="D76" s="65">
        <f>D56+D37+D75</f>
        <v>1259.8999999999978</v>
      </c>
      <c r="E76" s="65">
        <f t="shared" si="18"/>
        <v>1259.8999999999978</v>
      </c>
      <c r="F76" s="203">
        <f>SUM(G76:J76)</f>
        <v>-4821.5091686841488</v>
      </c>
      <c r="G76" s="203">
        <f>G56+G37+G75</f>
        <v>-455.80100751185091</v>
      </c>
      <c r="H76" s="203">
        <f>H56+H37+H75</f>
        <v>-2937.4688374988318</v>
      </c>
      <c r="I76" s="203">
        <f>I56+I37+I75</f>
        <v>-1956.7674864000001</v>
      </c>
      <c r="J76" s="203">
        <f t="shared" ref="J76" si="23">J56+J37+J75</f>
        <v>528.52816272653399</v>
      </c>
    </row>
    <row r="77" spans="1:10" x14ac:dyDescent="0.2">
      <c r="A77" s="34" t="s">
        <v>74</v>
      </c>
      <c r="B77" s="29">
        <v>3405</v>
      </c>
      <c r="C77" s="262">
        <v>24813.7</v>
      </c>
      <c r="D77" s="262">
        <v>46.7</v>
      </c>
      <c r="E77" s="55">
        <f t="shared" si="18"/>
        <v>46.7</v>
      </c>
      <c r="F77" s="204">
        <f>D79</f>
        <v>1306.5999999999985</v>
      </c>
      <c r="G77" s="204">
        <f>D79</f>
        <v>1306.5999999999985</v>
      </c>
      <c r="H77" s="204">
        <f>G79</f>
        <v>850.79899248814763</v>
      </c>
      <c r="I77" s="204">
        <f>H79</f>
        <v>-2086.6698450106842</v>
      </c>
      <c r="J77" s="204">
        <f t="shared" ref="J77" si="24">I79</f>
        <v>-4043.4373314106842</v>
      </c>
    </row>
    <row r="78" spans="1:10" ht="25.5" x14ac:dyDescent="0.2">
      <c r="A78" s="34" t="s">
        <v>80</v>
      </c>
      <c r="B78" s="29">
        <v>3410</v>
      </c>
      <c r="C78" s="262">
        <v>0</v>
      </c>
      <c r="D78" s="262">
        <v>0</v>
      </c>
      <c r="E78" s="55">
        <f t="shared" si="18"/>
        <v>0</v>
      </c>
      <c r="F78" s="204">
        <f t="shared" si="19"/>
        <v>0</v>
      </c>
      <c r="G78" s="204">
        <v>0</v>
      </c>
      <c r="H78" s="204">
        <v>0</v>
      </c>
      <c r="I78" s="204">
        <v>0</v>
      </c>
      <c r="J78" s="204">
        <v>0</v>
      </c>
    </row>
    <row r="79" spans="1:10" x14ac:dyDescent="0.2">
      <c r="A79" s="34" t="s">
        <v>81</v>
      </c>
      <c r="B79" s="29">
        <v>3415</v>
      </c>
      <c r="C79" s="262">
        <f>C77+C6+C17+C39+C47+C58+C65</f>
        <v>12000.099999999991</v>
      </c>
      <c r="D79" s="262">
        <f>D77+D6+D17+D39+D47+D58+D65</f>
        <v>1306.5999999999985</v>
      </c>
      <c r="E79" s="55">
        <f t="shared" si="18"/>
        <v>1306.5999999999985</v>
      </c>
      <c r="F79" s="204">
        <f>J79</f>
        <v>-3514.9091686841502</v>
      </c>
      <c r="G79" s="204">
        <f>G77+G6+G17+G39+G47+G58+G65</f>
        <v>850.79899248814763</v>
      </c>
      <c r="H79" s="204">
        <f>H77+H6+H17+H39+H47+H58+H65</f>
        <v>-2086.6698450106842</v>
      </c>
      <c r="I79" s="204">
        <f>I77+I6+I17+I39+I47+I58+I65</f>
        <v>-4043.4373314106842</v>
      </c>
      <c r="J79" s="204">
        <f>J77+J6+J17+J39+J47+J58+J65</f>
        <v>-3514.9091686841502</v>
      </c>
    </row>
  </sheetData>
  <mergeCells count="8">
    <mergeCell ref="A5:J5"/>
    <mergeCell ref="A38:J38"/>
    <mergeCell ref="A57:J57"/>
    <mergeCell ref="A1:J1"/>
    <mergeCell ref="G2:J2"/>
    <mergeCell ref="D2:D3"/>
    <mergeCell ref="E2:E3"/>
    <mergeCell ref="F2:F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130" zoomScaleNormal="130" workbookViewId="0">
      <selection activeCell="N20" sqref="N20"/>
    </sheetView>
  </sheetViews>
  <sheetFormatPr defaultRowHeight="12.75" x14ac:dyDescent="0.2"/>
  <cols>
    <col min="1" max="1" width="43.42578125" style="27" customWidth="1"/>
    <col min="2" max="3" width="9.140625" style="27"/>
    <col min="4" max="5" width="9.140625" style="122"/>
    <col min="6" max="10" width="10.28515625" style="63" bestFit="1" customWidth="1"/>
    <col min="11" max="16384" width="9.140625" style="27"/>
  </cols>
  <sheetData>
    <row r="1" spans="1:10" ht="32.25" customHeight="1" x14ac:dyDescent="0.2">
      <c r="A1" s="304" t="s">
        <v>82</v>
      </c>
      <c r="B1" s="304"/>
      <c r="C1" s="304"/>
      <c r="D1" s="304"/>
      <c r="E1" s="304"/>
      <c r="F1" s="304"/>
      <c r="G1" s="304"/>
      <c r="H1" s="304"/>
      <c r="I1" s="304"/>
      <c r="J1" s="304"/>
    </row>
    <row r="2" spans="1:10" ht="78.75" customHeight="1" x14ac:dyDescent="0.2">
      <c r="A2" s="295" t="s">
        <v>22</v>
      </c>
      <c r="B2" s="297" t="s">
        <v>23</v>
      </c>
      <c r="C2" s="295" t="s">
        <v>24</v>
      </c>
      <c r="D2" s="293" t="s">
        <v>25</v>
      </c>
      <c r="E2" s="293" t="s">
        <v>26</v>
      </c>
      <c r="F2" s="308" t="s">
        <v>125</v>
      </c>
      <c r="G2" s="305" t="s">
        <v>126</v>
      </c>
      <c r="H2" s="306"/>
      <c r="I2" s="306"/>
      <c r="J2" s="307"/>
    </row>
    <row r="3" spans="1:10" x14ac:dyDescent="0.2">
      <c r="A3" s="296"/>
      <c r="B3" s="298"/>
      <c r="C3" s="296"/>
      <c r="D3" s="294"/>
      <c r="E3" s="294"/>
      <c r="F3" s="309"/>
      <c r="G3" s="56" t="s">
        <v>128</v>
      </c>
      <c r="H3" s="56" t="s">
        <v>129</v>
      </c>
      <c r="I3" s="56" t="s">
        <v>130</v>
      </c>
      <c r="J3" s="56" t="s">
        <v>131</v>
      </c>
    </row>
    <row r="4" spans="1:10" s="38" customFormat="1" x14ac:dyDescent="0.2">
      <c r="A4" s="37">
        <v>1</v>
      </c>
      <c r="B4" s="37">
        <v>2</v>
      </c>
      <c r="C4" s="37">
        <v>3</v>
      </c>
      <c r="D4" s="129">
        <v>4</v>
      </c>
      <c r="E4" s="129">
        <v>5</v>
      </c>
      <c r="F4" s="180">
        <v>6</v>
      </c>
      <c r="G4" s="180">
        <v>7</v>
      </c>
      <c r="H4" s="180">
        <v>8</v>
      </c>
      <c r="I4" s="180">
        <v>9</v>
      </c>
      <c r="J4" s="180">
        <v>10</v>
      </c>
    </row>
    <row r="5" spans="1:10" s="64" customFormat="1" x14ac:dyDescent="0.2">
      <c r="A5" s="52" t="s">
        <v>382</v>
      </c>
      <c r="B5" s="61">
        <v>4000</v>
      </c>
      <c r="C5" s="59">
        <f>SUM(C6:C11)</f>
        <v>36073</v>
      </c>
      <c r="D5" s="65">
        <f t="shared" ref="D5:D11" si="0">SUM(D6:D11)</f>
        <v>0</v>
      </c>
      <c r="E5" s="65">
        <f>D5</f>
        <v>0</v>
      </c>
      <c r="F5" s="59">
        <f>SUM(G5:J5)</f>
        <v>0</v>
      </c>
      <c r="G5" s="59">
        <f>SUM(G6:G11)</f>
        <v>0</v>
      </c>
      <c r="H5" s="59">
        <f>SUM(H6:H11)</f>
        <v>0</v>
      </c>
      <c r="I5" s="59">
        <f>SUM(I6:I11)</f>
        <v>0</v>
      </c>
      <c r="J5" s="59">
        <f>SUM(J6:J11)</f>
        <v>0</v>
      </c>
    </row>
    <row r="6" spans="1:10" x14ac:dyDescent="0.2">
      <c r="A6" s="34" t="s">
        <v>312</v>
      </c>
      <c r="B6" s="29">
        <v>4010</v>
      </c>
      <c r="C6" s="51">
        <v>20695.5</v>
      </c>
      <c r="D6" s="55">
        <v>0</v>
      </c>
      <c r="E6" s="55">
        <f t="shared" ref="E6:E11" si="1">D6</f>
        <v>0</v>
      </c>
      <c r="F6" s="56">
        <f>SUM(G6:J6)</f>
        <v>0</v>
      </c>
      <c r="G6" s="56">
        <f>'джерела кап інвест'!I7</f>
        <v>0</v>
      </c>
      <c r="H6" s="56">
        <f>'джерела кап інвест'!J7</f>
        <v>0</v>
      </c>
      <c r="I6" s="56">
        <f>'джерела кап інвест'!K7</f>
        <v>0</v>
      </c>
      <c r="J6" s="56">
        <f>'джерела кап інвест'!L7</f>
        <v>0</v>
      </c>
    </row>
    <row r="7" spans="1:10" x14ac:dyDescent="0.2">
      <c r="A7" s="34" t="s">
        <v>313</v>
      </c>
      <c r="B7" s="29">
        <v>4020</v>
      </c>
      <c r="C7" s="51">
        <v>15377.5</v>
      </c>
      <c r="D7" s="55">
        <v>0</v>
      </c>
      <c r="E7" s="55">
        <f t="shared" si="1"/>
        <v>0</v>
      </c>
      <c r="F7" s="56">
        <f t="shared" ref="F7:F9" si="2">SUM(G7:J7)</f>
        <v>0</v>
      </c>
      <c r="G7" s="56">
        <f>'джерела кап інвест'!I9</f>
        <v>0</v>
      </c>
      <c r="H7" s="56">
        <f>'джерела кап інвест'!J9</f>
        <v>0</v>
      </c>
      <c r="I7" s="56">
        <f>'джерела кап інвест'!K9</f>
        <v>0</v>
      </c>
      <c r="J7" s="56">
        <f>'джерела кап інвест'!L9</f>
        <v>0</v>
      </c>
    </row>
    <row r="8" spans="1:10" ht="25.5" x14ac:dyDescent="0.2">
      <c r="A8" s="34" t="s">
        <v>314</v>
      </c>
      <c r="B8" s="29">
        <v>4030</v>
      </c>
      <c r="C8" s="51">
        <v>0</v>
      </c>
      <c r="D8" s="55">
        <f t="shared" si="0"/>
        <v>0</v>
      </c>
      <c r="E8" s="55">
        <f t="shared" si="1"/>
        <v>0</v>
      </c>
      <c r="F8" s="56">
        <f t="shared" si="2"/>
        <v>0</v>
      </c>
      <c r="G8" s="56">
        <v>0</v>
      </c>
      <c r="H8" s="56">
        <v>0</v>
      </c>
      <c r="I8" s="56">
        <v>0</v>
      </c>
      <c r="J8" s="56">
        <v>0</v>
      </c>
    </row>
    <row r="9" spans="1:10" x14ac:dyDescent="0.2">
      <c r="A9" s="34" t="s">
        <v>315</v>
      </c>
      <c r="B9" s="29">
        <v>4040</v>
      </c>
      <c r="C9" s="51">
        <v>0</v>
      </c>
      <c r="D9" s="55">
        <v>0</v>
      </c>
      <c r="E9" s="55">
        <f t="shared" si="1"/>
        <v>0</v>
      </c>
      <c r="F9" s="56">
        <f t="shared" si="2"/>
        <v>0</v>
      </c>
      <c r="G9" s="56">
        <v>0</v>
      </c>
      <c r="H9" s="56">
        <v>0</v>
      </c>
      <c r="I9" s="56">
        <v>0</v>
      </c>
      <c r="J9" s="56">
        <v>0</v>
      </c>
    </row>
    <row r="10" spans="1:10" ht="25.5" x14ac:dyDescent="0.2">
      <c r="A10" s="34" t="s">
        <v>316</v>
      </c>
      <c r="B10" s="29">
        <v>4050</v>
      </c>
      <c r="C10" s="51">
        <v>0</v>
      </c>
      <c r="D10" s="55">
        <v>0</v>
      </c>
      <c r="E10" s="55">
        <f t="shared" si="1"/>
        <v>0</v>
      </c>
      <c r="F10" s="56">
        <f>SUM(G10:J10)</f>
        <v>0</v>
      </c>
      <c r="G10" s="56">
        <f>'джерела кап інвест'!I8</f>
        <v>0</v>
      </c>
      <c r="H10" s="56">
        <f>'джерела кап інвест'!J8</f>
        <v>0</v>
      </c>
      <c r="I10" s="56">
        <f>'джерела кап інвест'!K8</f>
        <v>0</v>
      </c>
      <c r="J10" s="56">
        <f>'джерела кап інвест'!L8</f>
        <v>0</v>
      </c>
    </row>
    <row r="11" spans="1:10" x14ac:dyDescent="0.2">
      <c r="A11" s="34" t="s">
        <v>317</v>
      </c>
      <c r="B11" s="29">
        <v>4060</v>
      </c>
      <c r="C11" s="51">
        <v>0</v>
      </c>
      <c r="D11" s="55">
        <f t="shared" si="0"/>
        <v>0</v>
      </c>
      <c r="E11" s="55">
        <f t="shared" si="1"/>
        <v>0</v>
      </c>
      <c r="F11" s="56">
        <f>SUM(G11:J11)</f>
        <v>0</v>
      </c>
      <c r="G11" s="56">
        <v>0</v>
      </c>
      <c r="H11" s="56">
        <v>0</v>
      </c>
      <c r="I11" s="56">
        <v>0</v>
      </c>
      <c r="J11" s="56">
        <v>0</v>
      </c>
    </row>
  </sheetData>
  <mergeCells count="8">
    <mergeCell ref="A1:J1"/>
    <mergeCell ref="G2:J2"/>
    <mergeCell ref="F2:F3"/>
    <mergeCell ref="E2:E3"/>
    <mergeCell ref="D2:D3"/>
    <mergeCell ref="C2:C3"/>
    <mergeCell ref="B2:B3"/>
    <mergeCell ref="A2:A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opLeftCell="B1" zoomScale="140" zoomScaleNormal="140" workbookViewId="0">
      <selection activeCell="K45" sqref="K45"/>
    </sheetView>
  </sheetViews>
  <sheetFormatPr defaultRowHeight="12.75" x14ac:dyDescent="0.2"/>
  <cols>
    <col min="1" max="1" width="49" style="27" customWidth="1"/>
    <col min="2" max="2" width="9.28515625" style="27" bestFit="1" customWidth="1"/>
    <col min="3" max="3" width="10.7109375" style="27" bestFit="1" customWidth="1"/>
    <col min="4" max="6" width="10.7109375" style="27" customWidth="1"/>
    <col min="7" max="7" width="10.7109375" style="215" customWidth="1"/>
    <col min="8" max="8" width="21.42578125" style="27" customWidth="1"/>
    <col min="9" max="16384" width="9.140625" style="27"/>
  </cols>
  <sheetData>
    <row r="1" spans="1:8" s="130" customFormat="1" ht="50.1" customHeight="1" x14ac:dyDescent="0.25">
      <c r="A1" s="290" t="s">
        <v>84</v>
      </c>
      <c r="B1" s="290"/>
      <c r="C1" s="290"/>
      <c r="D1" s="290"/>
      <c r="E1" s="290"/>
      <c r="F1" s="290"/>
      <c r="G1" s="290"/>
      <c r="H1" s="290"/>
    </row>
    <row r="2" spans="1:8" ht="78.75" customHeight="1" x14ac:dyDescent="0.2">
      <c r="A2" s="28" t="s">
        <v>22</v>
      </c>
      <c r="B2" s="29" t="s">
        <v>23</v>
      </c>
      <c r="C2" s="28" t="s">
        <v>318</v>
      </c>
      <c r="D2" s="28" t="s">
        <v>24</v>
      </c>
      <c r="E2" s="28" t="s">
        <v>25</v>
      </c>
      <c r="F2" s="28" t="s">
        <v>26</v>
      </c>
      <c r="G2" s="212" t="s">
        <v>27</v>
      </c>
      <c r="H2" s="28" t="s">
        <v>319</v>
      </c>
    </row>
    <row r="3" spans="1:8" s="38" customFormat="1" x14ac:dyDescent="0.2">
      <c r="A3" s="37">
        <v>1</v>
      </c>
      <c r="B3" s="37">
        <v>2</v>
      </c>
      <c r="C3" s="37">
        <v>3</v>
      </c>
      <c r="D3" s="37">
        <v>4</v>
      </c>
      <c r="E3" s="37">
        <v>5</v>
      </c>
      <c r="F3" s="37">
        <v>6</v>
      </c>
      <c r="G3" s="213">
        <v>7</v>
      </c>
      <c r="H3" s="37">
        <v>8</v>
      </c>
    </row>
    <row r="4" spans="1:8" x14ac:dyDescent="0.2">
      <c r="A4" s="31" t="s">
        <v>320</v>
      </c>
      <c r="B4" s="310" t="s">
        <v>0</v>
      </c>
      <c r="C4" s="311"/>
      <c r="D4" s="311"/>
      <c r="E4" s="311"/>
      <c r="F4" s="311"/>
      <c r="G4" s="311"/>
      <c r="H4" s="312"/>
    </row>
    <row r="5" spans="1:8" ht="38.25" x14ac:dyDescent="0.2">
      <c r="A5" s="34" t="s">
        <v>321</v>
      </c>
      <c r="B5" s="29">
        <v>5000</v>
      </c>
      <c r="C5" s="28" t="s">
        <v>322</v>
      </c>
      <c r="D5" s="28">
        <f>'формування фін результатів'!C16/'формування фін результатів'!C6*100</f>
        <v>-26.102713897131537</v>
      </c>
      <c r="E5" s="134">
        <f>'формування фін результатів'!D16/'формування фін результатів'!D6*100</f>
        <v>9.3335052730416077</v>
      </c>
      <c r="F5" s="28">
        <f>E5</f>
        <v>9.3335052730416077</v>
      </c>
      <c r="G5" s="212">
        <f>'формування фін результатів'!F16/'формування фін результатів'!F6*100</f>
        <v>-24.924000337219251</v>
      </c>
      <c r="H5" s="28" t="s">
        <v>0</v>
      </c>
    </row>
    <row r="6" spans="1:8" ht="39.75" customHeight="1" x14ac:dyDescent="0.2">
      <c r="A6" s="34" t="s">
        <v>323</v>
      </c>
      <c r="B6" s="29">
        <v>5010</v>
      </c>
      <c r="C6" s="28" t="s">
        <v>322</v>
      </c>
      <c r="D6" s="28">
        <f>'формування фін результатів'!C88/'формування фін результатів'!C6*100</f>
        <v>-31.035948318496526</v>
      </c>
      <c r="E6" s="134">
        <f>'формування фін результатів'!D88/'формування фін результатів'!D6*100</f>
        <v>1.9996050759825825</v>
      </c>
      <c r="F6" s="134">
        <f t="shared" ref="F6:F9" si="0">E6</f>
        <v>1.9996050759825825</v>
      </c>
      <c r="G6" s="212">
        <f>'формування фін результатів'!F88/'формування фін результатів'!F6*100</f>
        <v>-29.805772357781997</v>
      </c>
      <c r="H6" s="28" t="s">
        <v>0</v>
      </c>
    </row>
    <row r="7" spans="1:8" ht="51" x14ac:dyDescent="0.2">
      <c r="A7" s="34" t="s">
        <v>324</v>
      </c>
      <c r="B7" s="29">
        <v>5020</v>
      </c>
      <c r="C7" s="28" t="s">
        <v>322</v>
      </c>
      <c r="D7" s="28">
        <f>'формування фін результатів'!C75/'Основні фінансові показники'!C70*100</f>
        <v>-1.2963942053505282</v>
      </c>
      <c r="E7" s="134">
        <f>'формування фін результатів'!D75/'Основні фінансові показники'!D70*100</f>
        <v>3.1253720681033458E-2</v>
      </c>
      <c r="F7" s="134">
        <f t="shared" si="0"/>
        <v>3.1253720681033458E-2</v>
      </c>
      <c r="G7" s="212">
        <f>'формування фін результатів'!F75/'Основні фінансові показники'!F70*100</f>
        <v>-47.151289512931918</v>
      </c>
      <c r="H7" s="28" t="s">
        <v>325</v>
      </c>
    </row>
    <row r="8" spans="1:8" ht="40.5" customHeight="1" x14ac:dyDescent="0.2">
      <c r="A8" s="34" t="s">
        <v>326</v>
      </c>
      <c r="B8" s="29">
        <v>5030</v>
      </c>
      <c r="C8" s="28" t="s">
        <v>322</v>
      </c>
      <c r="D8" s="28">
        <f>'формування фін результатів'!C75/'Основні фінансові показники'!C76*100</f>
        <v>-1.3801352273606682</v>
      </c>
      <c r="E8" s="134">
        <f>'формування фін результатів'!D75/'Основні фінансові показники'!D76*100</f>
        <v>1.3724518416451992E-2</v>
      </c>
      <c r="F8" s="134">
        <f t="shared" si="0"/>
        <v>1.3724518416451992E-2</v>
      </c>
      <c r="G8" s="212">
        <f>'формування фін результатів'!F75/'Основні фінансові показники'!F76*100</f>
        <v>-10.374741259509882</v>
      </c>
      <c r="H8" s="28" t="s">
        <v>0</v>
      </c>
    </row>
    <row r="9" spans="1:8" ht="51" x14ac:dyDescent="0.2">
      <c r="A9" s="34" t="s">
        <v>327</v>
      </c>
      <c r="B9" s="29">
        <v>5040</v>
      </c>
      <c r="C9" s="28" t="s">
        <v>322</v>
      </c>
      <c r="D9" s="28">
        <f>'формування фін результатів'!C75/'формування фін результатів'!C6*100</f>
        <v>-7.579129574678503</v>
      </c>
      <c r="E9" s="134">
        <f>'формування фін результатів'!D75/'формування фін результатів'!D6*100</f>
        <v>5.0775945097501905E-2</v>
      </c>
      <c r="F9" s="134">
        <f t="shared" si="0"/>
        <v>5.0775945097501905E-2</v>
      </c>
      <c r="G9" s="212">
        <f>'формування фін результатів'!F75/'формування фін результатів'!F6*100</f>
        <v>-30.756570510611112</v>
      </c>
      <c r="H9" s="28" t="s">
        <v>328</v>
      </c>
    </row>
    <row r="10" spans="1:8" x14ac:dyDescent="0.2">
      <c r="A10" s="31" t="s">
        <v>329</v>
      </c>
      <c r="B10" s="310" t="s">
        <v>0</v>
      </c>
      <c r="C10" s="311"/>
      <c r="D10" s="311"/>
      <c r="E10" s="311"/>
      <c r="F10" s="311"/>
      <c r="G10" s="311"/>
      <c r="H10" s="312"/>
    </row>
    <row r="11" spans="1:8" ht="38.25" x14ac:dyDescent="0.2">
      <c r="A11" s="34" t="s">
        <v>330</v>
      </c>
      <c r="B11" s="29">
        <v>5100</v>
      </c>
      <c r="C11" s="28" t="s">
        <v>0</v>
      </c>
      <c r="D11" s="28">
        <f>('Основні фінансові показники'!C71+'Основні фінансові показники'!C72)/'Основні фінансові показники'!C17</f>
        <v>-1.142967407813162</v>
      </c>
      <c r="E11" s="134">
        <f>('Основні фінансові показники'!D71+'Основні фінансові показники'!D72)/'Основні фінансові показники'!D17</f>
        <v>8.4089076985086333</v>
      </c>
      <c r="F11" s="57">
        <f>E11</f>
        <v>8.4089076985086333</v>
      </c>
      <c r="G11" s="212">
        <f>('Основні фінансові показники'!F71+'Основні фінансові показники'!F72)/'Основні фінансові показники'!F17</f>
        <v>-0.99854042374355323</v>
      </c>
      <c r="H11" s="28" t="s">
        <v>0</v>
      </c>
    </row>
    <row r="12" spans="1:8" ht="76.5" x14ac:dyDescent="0.2">
      <c r="A12" s="34" t="s">
        <v>331</v>
      </c>
      <c r="B12" s="29">
        <v>5110</v>
      </c>
      <c r="C12" s="28" t="s">
        <v>332</v>
      </c>
      <c r="D12" s="28">
        <f>'Основні фінансові показники'!C76/('Основні фінансові показники'!C71+'Основні фінансові показники'!C72)</f>
        <v>15.480993355843591</v>
      </c>
      <c r="E12" s="134">
        <f>'Основні фінансові показники'!D76/('Основні фінансові показники'!D71+'Основні фінансові показники'!D72)</f>
        <v>22.002756141402038</v>
      </c>
      <c r="F12" s="134">
        <f t="shared" ref="F12:F13" si="1">E12</f>
        <v>22.002756141402038</v>
      </c>
      <c r="G12" s="212">
        <f>'Основні фінансові показники'!F76/('Основні фінансові показники'!F71+'Основні фінансові показники'!F72)</f>
        <v>9.9608087692794154</v>
      </c>
      <c r="H12" s="28" t="s">
        <v>333</v>
      </c>
    </row>
    <row r="13" spans="1:8" ht="114.75" x14ac:dyDescent="0.2">
      <c r="A13" s="34" t="s">
        <v>334</v>
      </c>
      <c r="B13" s="29">
        <v>5120</v>
      </c>
      <c r="C13" s="28" t="s">
        <v>332</v>
      </c>
      <c r="D13" s="28">
        <f>'Основні фінансові показники'!C68/'Основні фінансові показники'!C72</f>
        <v>4.6567040627382639</v>
      </c>
      <c r="E13" s="134">
        <f>'Основні фінансові показники'!D68/'Основні фінансові показники'!D72</f>
        <v>1.244361893349311</v>
      </c>
      <c r="F13" s="134">
        <f t="shared" si="1"/>
        <v>1.244361893349311</v>
      </c>
      <c r="G13" s="212">
        <f>'Основні фінансові показники'!F68/'Основні фінансові показники'!F72</f>
        <v>-0.61745233613535999</v>
      </c>
      <c r="H13" s="28" t="s">
        <v>335</v>
      </c>
    </row>
    <row r="14" spans="1:8" x14ac:dyDescent="0.2">
      <c r="A14" s="31" t="s">
        <v>336</v>
      </c>
      <c r="B14" s="310" t="s">
        <v>0</v>
      </c>
      <c r="C14" s="311"/>
      <c r="D14" s="311"/>
      <c r="E14" s="311"/>
      <c r="F14" s="311"/>
      <c r="G14" s="311"/>
      <c r="H14" s="312"/>
    </row>
    <row r="15" spans="1:8" ht="38.25" x14ac:dyDescent="0.2">
      <c r="A15" s="34" t="s">
        <v>337</v>
      </c>
      <c r="B15" s="29">
        <v>5200</v>
      </c>
      <c r="C15" s="28" t="s">
        <v>0</v>
      </c>
      <c r="D15" s="28">
        <f>'Основні фінансові показники'!C56/'формування фін результатів'!C95</f>
        <v>36.385918902562032</v>
      </c>
      <c r="E15" s="134">
        <f>'Основні фінансові показники'!D56/'формування фін результатів'!D95</f>
        <v>0</v>
      </c>
      <c r="F15" s="57">
        <f>E15</f>
        <v>0</v>
      </c>
      <c r="G15" s="212">
        <f>'Основні фінансові показники'!F56/'формування фін результатів'!F95</f>
        <v>0</v>
      </c>
      <c r="H15" s="28" t="s">
        <v>0</v>
      </c>
    </row>
    <row r="16" spans="1:8" ht="51" x14ac:dyDescent="0.2">
      <c r="A16" s="34" t="s">
        <v>338</v>
      </c>
      <c r="B16" s="29">
        <v>5210</v>
      </c>
      <c r="C16" s="28" t="s">
        <v>0</v>
      </c>
      <c r="D16" s="39">
        <f>'Основні фінансові показники'!C56/'Основні фінансові показники'!C9</f>
        <v>2.7875401829871418</v>
      </c>
      <c r="E16" s="39">
        <f>'Основні фінансові показники'!D56/'Основні фінансові показники'!D9</f>
        <v>0</v>
      </c>
      <c r="F16" s="134">
        <f t="shared" ref="F16:F17" si="2">E16</f>
        <v>0</v>
      </c>
      <c r="G16" s="214">
        <f>'Основні фінансові показники'!F56/'Основні фінансові показники'!F9</f>
        <v>0</v>
      </c>
      <c r="H16" s="28" t="s">
        <v>0</v>
      </c>
    </row>
    <row r="17" spans="1:8" ht="38.25" x14ac:dyDescent="0.2">
      <c r="A17" s="34" t="s">
        <v>339</v>
      </c>
      <c r="B17" s="29">
        <v>5220</v>
      </c>
      <c r="C17" s="28" t="s">
        <v>340</v>
      </c>
      <c r="D17" s="28">
        <f>'Основні фінансові показники'!C67/'Основні фінансові показники'!C66</f>
        <v>0.43567740487147827</v>
      </c>
      <c r="E17" s="134">
        <f>'Основні фінансові показники'!D67/'Основні фінансові показники'!D66</f>
        <v>0.206304262348427</v>
      </c>
      <c r="F17" s="134">
        <f t="shared" si="2"/>
        <v>0.206304262348427</v>
      </c>
      <c r="G17" s="212">
        <f>'Основні фінансові показники'!F67/'Основні фінансові показники'!F66</f>
        <v>0.33485152880203978</v>
      </c>
      <c r="H17" s="28" t="s">
        <v>341</v>
      </c>
    </row>
    <row r="18" spans="1:8" x14ac:dyDescent="0.2">
      <c r="A18" s="31" t="s">
        <v>342</v>
      </c>
      <c r="B18" s="310" t="s">
        <v>0</v>
      </c>
      <c r="C18" s="311"/>
      <c r="D18" s="311"/>
      <c r="E18" s="311"/>
      <c r="F18" s="311"/>
      <c r="G18" s="311"/>
      <c r="H18" s="312"/>
    </row>
    <row r="19" spans="1:8" ht="63.75" x14ac:dyDescent="0.2">
      <c r="A19" s="34" t="s">
        <v>343</v>
      </c>
      <c r="B19" s="29">
        <v>5300</v>
      </c>
      <c r="C19" s="28" t="s">
        <v>0</v>
      </c>
      <c r="D19" s="28">
        <v>0</v>
      </c>
      <c r="E19" s="28">
        <v>0</v>
      </c>
      <c r="F19" s="28">
        <v>0</v>
      </c>
      <c r="G19" s="212">
        <v>0</v>
      </c>
      <c r="H19" s="28" t="s">
        <v>0</v>
      </c>
    </row>
  </sheetData>
  <mergeCells count="5">
    <mergeCell ref="A1:H1"/>
    <mergeCell ref="B4:H4"/>
    <mergeCell ref="B10:H10"/>
    <mergeCell ref="B14:H14"/>
    <mergeCell ref="B18:H18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="140" zoomScaleNormal="140" workbookViewId="0">
      <selection activeCell="J3" sqref="J3"/>
    </sheetView>
  </sheetViews>
  <sheetFormatPr defaultRowHeight="12.75" x14ac:dyDescent="0.2"/>
  <cols>
    <col min="1" max="1" width="73.28515625" style="27" customWidth="1"/>
    <col min="2" max="2" width="9.140625" style="27"/>
    <col min="3" max="4" width="9.140625" style="122" customWidth="1"/>
    <col min="5" max="5" width="9.140625" style="27"/>
    <col min="6" max="6" width="9" style="27" customWidth="1"/>
    <col min="7" max="16384" width="9.140625" style="27"/>
  </cols>
  <sheetData>
    <row r="1" spans="1:7" ht="39" customHeight="1" x14ac:dyDescent="0.2">
      <c r="A1" s="314" t="s">
        <v>519</v>
      </c>
      <c r="B1" s="314"/>
      <c r="C1" s="314"/>
      <c r="D1" s="314"/>
      <c r="E1" s="314"/>
      <c r="F1" s="314"/>
      <c r="G1" s="314"/>
    </row>
    <row r="2" spans="1:7" ht="44.25" customHeight="1" x14ac:dyDescent="0.2">
      <c r="A2" s="314" t="s">
        <v>372</v>
      </c>
      <c r="B2" s="314"/>
      <c r="C2" s="314"/>
      <c r="D2" s="314"/>
      <c r="E2" s="314"/>
      <c r="F2" s="314"/>
      <c r="G2" s="314"/>
    </row>
    <row r="3" spans="1:7" ht="27" customHeight="1" x14ac:dyDescent="0.2">
      <c r="A3" s="315" t="s">
        <v>344</v>
      </c>
      <c r="B3" s="315"/>
      <c r="C3" s="315"/>
      <c r="D3" s="315"/>
      <c r="E3" s="315"/>
      <c r="F3" s="315"/>
      <c r="G3" s="315"/>
    </row>
    <row r="4" spans="1:7" ht="34.5" customHeight="1" x14ac:dyDescent="0.2">
      <c r="A4" s="316" t="s">
        <v>345</v>
      </c>
      <c r="B4" s="316"/>
      <c r="C4" s="316"/>
      <c r="D4" s="316"/>
      <c r="E4" s="316"/>
      <c r="F4" s="316"/>
      <c r="G4" s="316"/>
    </row>
    <row r="5" spans="1:7" ht="81" customHeight="1" x14ac:dyDescent="0.2">
      <c r="A5" s="28" t="s">
        <v>22</v>
      </c>
      <c r="B5" s="29" t="s">
        <v>24</v>
      </c>
      <c r="C5" s="121" t="s">
        <v>25</v>
      </c>
      <c r="D5" s="121" t="s">
        <v>26</v>
      </c>
      <c r="E5" s="183" t="s">
        <v>27</v>
      </c>
      <c r="F5" s="183" t="s">
        <v>346</v>
      </c>
      <c r="G5" s="183" t="s">
        <v>347</v>
      </c>
    </row>
    <row r="6" spans="1:7" s="38" customFormat="1" x14ac:dyDescent="0.2">
      <c r="A6" s="37">
        <v>1</v>
      </c>
      <c r="B6" s="37">
        <v>2</v>
      </c>
      <c r="C6" s="129">
        <v>3</v>
      </c>
      <c r="D6" s="129">
        <v>4</v>
      </c>
      <c r="E6" s="37">
        <v>5</v>
      </c>
      <c r="F6" s="37">
        <v>6</v>
      </c>
      <c r="G6" s="37">
        <v>7</v>
      </c>
    </row>
    <row r="7" spans="1:7" ht="25.5" x14ac:dyDescent="0.2">
      <c r="A7" s="31" t="s">
        <v>348</v>
      </c>
      <c r="B7" s="32">
        <f>SUM(B8:B12)</f>
        <v>17</v>
      </c>
      <c r="C7" s="136">
        <f>SUM(C8:C12)</f>
        <v>63</v>
      </c>
      <c r="D7" s="171">
        <f>C7</f>
        <v>63</v>
      </c>
      <c r="E7" s="184">
        <f>SUM(E8:E12)</f>
        <v>58</v>
      </c>
      <c r="F7" s="181">
        <f>E7/D7*100</f>
        <v>92.063492063492063</v>
      </c>
      <c r="G7" s="181">
        <f>E7/B7*100</f>
        <v>341.1764705882353</v>
      </c>
    </row>
    <row r="8" spans="1:7" ht="18.75" customHeight="1" x14ac:dyDescent="0.2">
      <c r="A8" s="34" t="s">
        <v>112</v>
      </c>
      <c r="B8" s="29">
        <v>0</v>
      </c>
      <c r="C8" s="137">
        <v>0</v>
      </c>
      <c r="D8" s="172">
        <f t="shared" ref="D8:D33" si="0">C8</f>
        <v>0</v>
      </c>
      <c r="E8" s="182">
        <v>0</v>
      </c>
      <c r="F8" s="183">
        <v>0</v>
      </c>
      <c r="G8" s="183">
        <v>0</v>
      </c>
    </row>
    <row r="9" spans="1:7" x14ac:dyDescent="0.2">
      <c r="A9" s="34" t="s">
        <v>113</v>
      </c>
      <c r="B9" s="29">
        <v>0</v>
      </c>
      <c r="C9" s="137">
        <v>0</v>
      </c>
      <c r="D9" s="172">
        <f t="shared" si="0"/>
        <v>0</v>
      </c>
      <c r="E9" s="182">
        <v>0</v>
      </c>
      <c r="F9" s="183">
        <v>0</v>
      </c>
      <c r="G9" s="183">
        <v>0</v>
      </c>
    </row>
    <row r="10" spans="1:7" x14ac:dyDescent="0.2">
      <c r="A10" s="34" t="s">
        <v>114</v>
      </c>
      <c r="B10" s="29">
        <v>1</v>
      </c>
      <c r="C10" s="137">
        <v>1</v>
      </c>
      <c r="D10" s="172">
        <f t="shared" si="0"/>
        <v>1</v>
      </c>
      <c r="E10" s="120">
        <v>1</v>
      </c>
      <c r="F10" s="183">
        <f t="shared" ref="F10:F11" si="1">E10/D10*100</f>
        <v>100</v>
      </c>
      <c r="G10" s="183">
        <f>E10/B10*100</f>
        <v>100</v>
      </c>
    </row>
    <row r="11" spans="1:7" x14ac:dyDescent="0.2">
      <c r="A11" s="34" t="s">
        <v>115</v>
      </c>
      <c r="B11" s="29">
        <v>2</v>
      </c>
      <c r="C11" s="137">
        <v>12</v>
      </c>
      <c r="D11" s="172">
        <f t="shared" si="0"/>
        <v>12</v>
      </c>
      <c r="E11" s="120">
        <v>11</v>
      </c>
      <c r="F11" s="183">
        <f t="shared" si="1"/>
        <v>91.666666666666657</v>
      </c>
      <c r="G11" s="183">
        <f t="shared" ref="G11" si="2">E11/B11*100</f>
        <v>550</v>
      </c>
    </row>
    <row r="12" spans="1:7" x14ac:dyDescent="0.2">
      <c r="A12" s="34" t="s">
        <v>116</v>
      </c>
      <c r="B12" s="29">
        <v>14</v>
      </c>
      <c r="C12" s="137">
        <v>50</v>
      </c>
      <c r="D12" s="172">
        <f t="shared" si="0"/>
        <v>50</v>
      </c>
      <c r="E12" s="120">
        <v>46</v>
      </c>
      <c r="F12" s="183">
        <f>E12/D12*100</f>
        <v>92</v>
      </c>
      <c r="G12" s="183">
        <f>E12/B12*100</f>
        <v>328.57142857142856</v>
      </c>
    </row>
    <row r="13" spans="1:7" x14ac:dyDescent="0.2">
      <c r="A13" s="31" t="s">
        <v>349</v>
      </c>
      <c r="B13" s="33">
        <f>SUM(B14:B18)</f>
        <v>5457.7999999999993</v>
      </c>
      <c r="C13" s="133">
        <f>SUM(C14:C18)</f>
        <v>7054.9</v>
      </c>
      <c r="D13" s="65">
        <f t="shared" si="0"/>
        <v>7054.9</v>
      </c>
      <c r="E13" s="181">
        <f>SUM(E14:E18)</f>
        <v>7183</v>
      </c>
      <c r="F13" s="181">
        <f>E13/D13*100</f>
        <v>101.81575925952176</v>
      </c>
      <c r="G13" s="181">
        <f>E13/B13*100</f>
        <v>131.60980614899779</v>
      </c>
    </row>
    <row r="14" spans="1:7" x14ac:dyDescent="0.2">
      <c r="A14" s="34" t="s">
        <v>112</v>
      </c>
      <c r="B14" s="28">
        <v>0</v>
      </c>
      <c r="C14" s="134">
        <v>0</v>
      </c>
      <c r="D14" s="135">
        <f t="shared" si="0"/>
        <v>0</v>
      </c>
      <c r="E14" s="183">
        <v>0</v>
      </c>
      <c r="F14" s="183">
        <v>0</v>
      </c>
      <c r="G14" s="183">
        <v>0</v>
      </c>
    </row>
    <row r="15" spans="1:7" x14ac:dyDescent="0.2">
      <c r="A15" s="34" t="s">
        <v>113</v>
      </c>
      <c r="B15" s="28">
        <v>0</v>
      </c>
      <c r="C15" s="134">
        <v>0</v>
      </c>
      <c r="D15" s="135">
        <f t="shared" si="0"/>
        <v>0</v>
      </c>
      <c r="E15" s="183">
        <v>0</v>
      </c>
      <c r="F15" s="183">
        <v>0</v>
      </c>
      <c r="G15" s="183">
        <v>0</v>
      </c>
    </row>
    <row r="16" spans="1:7" x14ac:dyDescent="0.2">
      <c r="A16" s="34" t="s">
        <v>114</v>
      </c>
      <c r="B16" s="28">
        <f>B22+1</f>
        <v>509.6</v>
      </c>
      <c r="C16" s="134">
        <v>290.89999999999998</v>
      </c>
      <c r="D16" s="135">
        <f t="shared" si="0"/>
        <v>290.89999999999998</v>
      </c>
      <c r="E16" s="183">
        <f>E22+6.5</f>
        <v>326.89999999999998</v>
      </c>
      <c r="F16" s="183">
        <f>E16/D16*100</f>
        <v>112.37538673083533</v>
      </c>
      <c r="G16" s="183">
        <f>E16/B16*100</f>
        <v>64.14835164835165</v>
      </c>
    </row>
    <row r="17" spans="1:7" x14ac:dyDescent="0.2">
      <c r="A17" s="34" t="s">
        <v>115</v>
      </c>
      <c r="B17" s="28">
        <f>B23+2</f>
        <v>800.80000000000007</v>
      </c>
      <c r="C17" s="134">
        <v>1397.5</v>
      </c>
      <c r="D17" s="135">
        <f t="shared" si="0"/>
        <v>1397.5</v>
      </c>
      <c r="E17" s="183">
        <f>E23+6.5</f>
        <v>1444.1</v>
      </c>
      <c r="F17" s="183">
        <f t="shared" ref="F17:F33" si="3">E17/D17*100</f>
        <v>103.3345259391771</v>
      </c>
      <c r="G17" s="183">
        <f>E17/B17*100</f>
        <v>180.33216783216781</v>
      </c>
    </row>
    <row r="18" spans="1:7" x14ac:dyDescent="0.2">
      <c r="A18" s="34" t="s">
        <v>116</v>
      </c>
      <c r="B18" s="28">
        <f>B24+13.2</f>
        <v>4147.3999999999996</v>
      </c>
      <c r="C18" s="134">
        <v>5366.5</v>
      </c>
      <c r="D18" s="135">
        <f t="shared" si="0"/>
        <v>5366.5</v>
      </c>
      <c r="E18" s="183">
        <f>E24+19.4</f>
        <v>5412</v>
      </c>
      <c r="F18" s="183">
        <f t="shared" si="3"/>
        <v>100.84785241777693</v>
      </c>
      <c r="G18" s="183">
        <f>E18/B18*100</f>
        <v>130.49139219752135</v>
      </c>
    </row>
    <row r="19" spans="1:7" x14ac:dyDescent="0.2">
      <c r="A19" s="31" t="s">
        <v>350</v>
      </c>
      <c r="B19" s="33">
        <f>SUM(B20:B24)</f>
        <v>5441.6</v>
      </c>
      <c r="C19" s="133">
        <f>SUM(C20:C24)</f>
        <v>7022.5</v>
      </c>
      <c r="D19" s="65">
        <f t="shared" si="0"/>
        <v>7022.5</v>
      </c>
      <c r="E19" s="181">
        <f>SUM(E20:E24)</f>
        <v>7150.6</v>
      </c>
      <c r="F19" s="181">
        <f>E19/D19*100</f>
        <v>101.82413670345318</v>
      </c>
      <c r="G19" s="181">
        <f>E19/B19*100</f>
        <v>131.40620405763011</v>
      </c>
    </row>
    <row r="20" spans="1:7" x14ac:dyDescent="0.2">
      <c r="A20" s="34" t="s">
        <v>112</v>
      </c>
      <c r="B20" s="28">
        <v>0</v>
      </c>
      <c r="C20" s="134">
        <v>0</v>
      </c>
      <c r="D20" s="135">
        <f t="shared" si="0"/>
        <v>0</v>
      </c>
      <c r="E20" s="183">
        <v>0</v>
      </c>
      <c r="F20" s="183">
        <v>0</v>
      </c>
      <c r="G20" s="183">
        <v>0</v>
      </c>
    </row>
    <row r="21" spans="1:7" x14ac:dyDescent="0.2">
      <c r="A21" s="34" t="s">
        <v>113</v>
      </c>
      <c r="B21" s="28">
        <v>0</v>
      </c>
      <c r="C21" s="134">
        <v>0</v>
      </c>
      <c r="D21" s="135">
        <f t="shared" si="0"/>
        <v>0</v>
      </c>
      <c r="E21" s="183">
        <v>0</v>
      </c>
      <c r="F21" s="183">
        <v>0</v>
      </c>
      <c r="G21" s="183">
        <v>0</v>
      </c>
    </row>
    <row r="22" spans="1:7" x14ac:dyDescent="0.2">
      <c r="A22" s="34" t="s">
        <v>114</v>
      </c>
      <c r="B22" s="28">
        <v>508.6</v>
      </c>
      <c r="C22" s="134">
        <v>284.39999999999998</v>
      </c>
      <c r="D22" s="135">
        <f t="shared" si="0"/>
        <v>284.39999999999998</v>
      </c>
      <c r="E22" s="183">
        <f>'штатний розклад'!P11</f>
        <v>320.39999999999998</v>
      </c>
      <c r="F22" s="183">
        <f t="shared" si="3"/>
        <v>112.65822784810126</v>
      </c>
      <c r="G22" s="183">
        <f>E22/B22*100</f>
        <v>62.996460872984663</v>
      </c>
    </row>
    <row r="23" spans="1:7" x14ac:dyDescent="0.2">
      <c r="A23" s="34" t="s">
        <v>115</v>
      </c>
      <c r="B23" s="28">
        <f>'формування фін результатів'!C25-B22</f>
        <v>798.80000000000007</v>
      </c>
      <c r="C23" s="134">
        <v>1391</v>
      </c>
      <c r="D23" s="135">
        <f t="shared" si="0"/>
        <v>1391</v>
      </c>
      <c r="E23" s="183">
        <f>'штатний розклад'!P14-'дані про персонал'!E22</f>
        <v>1437.6</v>
      </c>
      <c r="F23" s="183">
        <f t="shared" si="3"/>
        <v>103.35010783608914</v>
      </c>
      <c r="G23" s="183">
        <f>E23/B23*100</f>
        <v>179.96995493239859</v>
      </c>
    </row>
    <row r="24" spans="1:7" x14ac:dyDescent="0.2">
      <c r="A24" s="34" t="s">
        <v>116</v>
      </c>
      <c r="B24" s="28">
        <v>4134.2</v>
      </c>
      <c r="C24" s="134">
        <v>5347.1</v>
      </c>
      <c r="D24" s="135">
        <f t="shared" si="0"/>
        <v>5347.1</v>
      </c>
      <c r="E24" s="183">
        <f>'штатний розклад'!P23+'штатний розклад'!P37</f>
        <v>5392.6</v>
      </c>
      <c r="F24" s="183">
        <f t="shared" si="3"/>
        <v>100.8509285407043</v>
      </c>
      <c r="G24" s="183">
        <f t="shared" ref="G24:G33" si="4">E24/B24*100</f>
        <v>130.43877896570075</v>
      </c>
    </row>
    <row r="25" spans="1:7" ht="25.5" x14ac:dyDescent="0.2">
      <c r="A25" s="31" t="s">
        <v>351</v>
      </c>
      <c r="B25" s="58">
        <f>B19/12/B7*1000</f>
        <v>26674.50980392157</v>
      </c>
      <c r="C25" s="133">
        <f t="shared" ref="C25" si="5">C19/12/C7*1000</f>
        <v>9289.0211640211637</v>
      </c>
      <c r="D25" s="65">
        <f t="shared" si="0"/>
        <v>9289.0211640211637</v>
      </c>
      <c r="E25" s="181">
        <f>E19/12/E7*1000</f>
        <v>10273.850574712644</v>
      </c>
      <c r="F25" s="183">
        <f t="shared" si="3"/>
        <v>110.60207952271639</v>
      </c>
      <c r="G25" s="183">
        <f t="shared" si="4"/>
        <v>38.515611534132958</v>
      </c>
    </row>
    <row r="26" spans="1:7" x14ac:dyDescent="0.2">
      <c r="A26" s="34" t="s">
        <v>119</v>
      </c>
      <c r="B26" s="56">
        <v>0</v>
      </c>
      <c r="C26" s="56">
        <v>0</v>
      </c>
      <c r="D26" s="135">
        <f t="shared" si="0"/>
        <v>0</v>
      </c>
      <c r="E26" s="183">
        <v>0</v>
      </c>
      <c r="F26" s="183">
        <v>0</v>
      </c>
      <c r="G26" s="183">
        <v>0</v>
      </c>
    </row>
    <row r="27" spans="1:7" x14ac:dyDescent="0.2">
      <c r="A27" s="34" t="s">
        <v>120</v>
      </c>
      <c r="B27" s="56">
        <v>0</v>
      </c>
      <c r="C27" s="56">
        <v>0</v>
      </c>
      <c r="D27" s="135">
        <f t="shared" si="0"/>
        <v>0</v>
      </c>
      <c r="E27" s="183">
        <v>0</v>
      </c>
      <c r="F27" s="183">
        <v>0</v>
      </c>
      <c r="G27" s="183">
        <v>0</v>
      </c>
    </row>
    <row r="28" spans="1:7" x14ac:dyDescent="0.2">
      <c r="A28" s="34" t="s">
        <v>352</v>
      </c>
      <c r="B28" s="134">
        <f>SUM(B29:B31)</f>
        <v>42383.333333333328</v>
      </c>
      <c r="C28" s="134">
        <f>SUM(C29:C31)</f>
        <v>23700</v>
      </c>
      <c r="D28" s="135">
        <f t="shared" si="0"/>
        <v>23700</v>
      </c>
      <c r="E28" s="183">
        <f>SUM(E29:E31)</f>
        <v>26700</v>
      </c>
      <c r="F28" s="183">
        <f t="shared" si="3"/>
        <v>112.65822784810126</v>
      </c>
      <c r="G28" s="183">
        <f t="shared" si="4"/>
        <v>62.99646087298467</v>
      </c>
    </row>
    <row r="29" spans="1:7" x14ac:dyDescent="0.2">
      <c r="A29" s="41" t="s">
        <v>353</v>
      </c>
      <c r="B29" s="58">
        <v>15830</v>
      </c>
      <c r="C29" s="133">
        <v>14910</v>
      </c>
      <c r="D29" s="65">
        <f t="shared" si="0"/>
        <v>14910</v>
      </c>
      <c r="E29" s="59">
        <v>20000</v>
      </c>
      <c r="F29" s="183">
        <f t="shared" si="3"/>
        <v>134.1381623071764</v>
      </c>
      <c r="G29" s="183">
        <f t="shared" si="4"/>
        <v>126.34238787113077</v>
      </c>
    </row>
    <row r="30" spans="1:7" x14ac:dyDescent="0.2">
      <c r="A30" s="41" t="s">
        <v>354</v>
      </c>
      <c r="B30" s="56">
        <v>7004.25</v>
      </c>
      <c r="C30" s="56">
        <v>0</v>
      </c>
      <c r="D30" s="135">
        <f t="shared" si="0"/>
        <v>0</v>
      </c>
      <c r="E30" s="183">
        <v>0</v>
      </c>
      <c r="F30" s="183">
        <v>0</v>
      </c>
      <c r="G30" s="183">
        <v>0</v>
      </c>
    </row>
    <row r="31" spans="1:7" x14ac:dyDescent="0.2">
      <c r="A31" s="41" t="s">
        <v>355</v>
      </c>
      <c r="B31" s="134">
        <f>(B22*1000-((B29+B30)*12))/12</f>
        <v>19549.083333333332</v>
      </c>
      <c r="C31" s="134">
        <f>(C22*1000-((C29+C30)*12))/12</f>
        <v>8790</v>
      </c>
      <c r="D31" s="135">
        <f t="shared" si="0"/>
        <v>8790</v>
      </c>
      <c r="E31" s="183">
        <f>(E22*1000-((E29+E30)*12))/12</f>
        <v>6700</v>
      </c>
      <c r="F31" s="183">
        <f t="shared" si="3"/>
        <v>76.222980659840729</v>
      </c>
      <c r="G31" s="183">
        <f t="shared" si="4"/>
        <v>34.272706733904833</v>
      </c>
    </row>
    <row r="32" spans="1:7" x14ac:dyDescent="0.2">
      <c r="A32" s="34" t="s">
        <v>121</v>
      </c>
      <c r="B32" s="57">
        <f>B23/12/B11*1000</f>
        <v>33283.333333333336</v>
      </c>
      <c r="C32" s="134">
        <f>C23/12/C11*1000</f>
        <v>9659.7222222222226</v>
      </c>
      <c r="D32" s="135">
        <f t="shared" si="0"/>
        <v>9659.7222222222226</v>
      </c>
      <c r="E32" s="183">
        <f>E23/12/E11*1000</f>
        <v>10890.90909090909</v>
      </c>
      <c r="F32" s="183">
        <f t="shared" si="3"/>
        <v>112.74557218482451</v>
      </c>
      <c r="G32" s="183">
        <f t="shared" si="4"/>
        <v>32.721809987708831</v>
      </c>
    </row>
    <row r="33" spans="1:7" x14ac:dyDescent="0.2">
      <c r="A33" s="34" t="s">
        <v>122</v>
      </c>
      <c r="B33" s="57">
        <f>B24/12/B12*1000</f>
        <v>24608.333333333332</v>
      </c>
      <c r="C33" s="134">
        <f>C24/12/C12*1000</f>
        <v>8911.8333333333339</v>
      </c>
      <c r="D33" s="135">
        <f t="shared" si="0"/>
        <v>8911.8333333333339</v>
      </c>
      <c r="E33" s="183">
        <f>E24/12/E12*1000</f>
        <v>9769.2028985507259</v>
      </c>
      <c r="F33" s="183">
        <f t="shared" si="3"/>
        <v>109.62057450076557</v>
      </c>
      <c r="G33" s="183">
        <f t="shared" si="4"/>
        <v>39.698758815648063</v>
      </c>
    </row>
    <row r="35" spans="1:7" x14ac:dyDescent="0.2">
      <c r="A35" s="42" t="s">
        <v>366</v>
      </c>
    </row>
    <row r="36" spans="1:7" ht="31.5" customHeight="1" x14ac:dyDescent="0.2">
      <c r="A36" s="313" t="s">
        <v>367</v>
      </c>
      <c r="B36" s="313"/>
      <c r="C36" s="313"/>
      <c r="D36" s="313"/>
      <c r="E36" s="313"/>
      <c r="F36" s="313"/>
      <c r="G36" s="313"/>
    </row>
    <row r="38" spans="1:7" ht="31.5" customHeight="1" x14ac:dyDescent="0.2"/>
  </sheetData>
  <mergeCells count="5">
    <mergeCell ref="A36:G36"/>
    <mergeCell ref="A1:G1"/>
    <mergeCell ref="A2:G2"/>
    <mergeCell ref="A3:G3"/>
    <mergeCell ref="A4:G4"/>
  </mergeCells>
  <pageMargins left="0.7" right="0.7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selection activeCell="A2" sqref="A2:C2"/>
    </sheetView>
  </sheetViews>
  <sheetFormatPr defaultRowHeight="15" x14ac:dyDescent="0.25"/>
  <cols>
    <col min="1" max="1" width="21.42578125" customWidth="1"/>
    <col min="2" max="2" width="39.85546875" customWidth="1"/>
    <col min="3" max="3" width="71.5703125" customWidth="1"/>
  </cols>
  <sheetData>
    <row r="1" spans="1:3" x14ac:dyDescent="0.25">
      <c r="A1" s="118"/>
    </row>
    <row r="2" spans="1:3" ht="15.75" x14ac:dyDescent="0.25">
      <c r="A2" s="317" t="s">
        <v>368</v>
      </c>
      <c r="B2" s="317"/>
      <c r="C2" s="317"/>
    </row>
    <row r="4" spans="1:3" ht="15.75" x14ac:dyDescent="0.25">
      <c r="A4" s="6" t="s">
        <v>369</v>
      </c>
      <c r="B4" s="6" t="s">
        <v>370</v>
      </c>
      <c r="C4" s="6" t="s">
        <v>371</v>
      </c>
    </row>
    <row r="5" spans="1:3" ht="15.75" x14ac:dyDescent="0.25">
      <c r="A5" s="6">
        <v>1</v>
      </c>
      <c r="B5" s="6">
        <v>2</v>
      </c>
      <c r="C5" s="6">
        <v>3</v>
      </c>
    </row>
    <row r="6" spans="1:3" ht="15.75" x14ac:dyDescent="0.25">
      <c r="A6" s="6" t="s">
        <v>0</v>
      </c>
      <c r="B6" s="69" t="s">
        <v>0</v>
      </c>
      <c r="C6" s="69" t="s">
        <v>0</v>
      </c>
    </row>
    <row r="7" spans="1:3" ht="15.75" x14ac:dyDescent="0.25">
      <c r="A7" s="6" t="s">
        <v>0</v>
      </c>
      <c r="B7" s="69" t="s">
        <v>0</v>
      </c>
      <c r="C7" s="69" t="s">
        <v>0</v>
      </c>
    </row>
    <row r="8" spans="1:3" ht="15.75" x14ac:dyDescent="0.25">
      <c r="A8" s="6" t="s">
        <v>0</v>
      </c>
      <c r="B8" s="69" t="s">
        <v>0</v>
      </c>
      <c r="C8" s="69" t="s">
        <v>0</v>
      </c>
    </row>
    <row r="9" spans="1:3" ht="15.75" x14ac:dyDescent="0.25">
      <c r="A9" s="6" t="s">
        <v>0</v>
      </c>
      <c r="B9" s="69" t="s">
        <v>0</v>
      </c>
      <c r="C9" s="69" t="s">
        <v>0</v>
      </c>
    </row>
    <row r="10" spans="1:3" ht="15.75" x14ac:dyDescent="0.25">
      <c r="A10" s="6" t="s">
        <v>0</v>
      </c>
      <c r="B10" s="69" t="s">
        <v>0</v>
      </c>
      <c r="C10" s="69" t="s">
        <v>0</v>
      </c>
    </row>
  </sheetData>
  <mergeCells count="1">
    <mergeCell ref="A2:C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19</vt:i4>
      </vt:variant>
      <vt:variant>
        <vt:lpstr>Іменовані діапазони</vt:lpstr>
      </vt:variant>
      <vt:variant>
        <vt:i4>5</vt:i4>
      </vt:variant>
    </vt:vector>
  </HeadingPairs>
  <TitlesOfParts>
    <vt:vector size="24" baseType="lpstr">
      <vt:lpstr>титулка</vt:lpstr>
      <vt:lpstr>Основні фінансові показники</vt:lpstr>
      <vt:lpstr>формування фін результатів</vt:lpstr>
      <vt:lpstr>розрахунки з бюджетом</vt:lpstr>
      <vt:lpstr>рух грош коштів</vt:lpstr>
      <vt:lpstr>Капітальні інвестиції </vt:lpstr>
      <vt:lpstr>Коефіцієнтний аналіз</vt:lpstr>
      <vt:lpstr>дані про персонал</vt:lpstr>
      <vt:lpstr>перелік підприємств</vt:lpstr>
      <vt:lpstr>інформ про бізнес </vt:lpstr>
      <vt:lpstr>діючі фін зобовязання</vt:lpstr>
      <vt:lpstr>інформ.про залучені кошти</vt:lpstr>
      <vt:lpstr>витрати на автом.</vt:lpstr>
      <vt:lpstr>витрати на оренду автом</vt:lpstr>
      <vt:lpstr>джерела кап інвест</vt:lpstr>
      <vt:lpstr>кап.буд,</vt:lpstr>
      <vt:lpstr>довідка</vt:lpstr>
      <vt:lpstr>штатний розклад</vt:lpstr>
      <vt:lpstr>порівняльна таблиця</vt:lpstr>
      <vt:lpstr>довідка!Область_друку</vt:lpstr>
      <vt:lpstr>'Основні фінансові показники'!Область_друку</vt:lpstr>
      <vt:lpstr>'порівняльна таблиця'!Область_друку</vt:lpstr>
      <vt:lpstr>'розрахунки з бюджетом'!Область_друку</vt:lpstr>
      <vt:lpstr>'формування фін результатів'!Область_друку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Сенюк Світлана Михайлівна</cp:lastModifiedBy>
  <cp:lastPrinted>2024-08-08T13:12:31Z</cp:lastPrinted>
  <dcterms:created xsi:type="dcterms:W3CDTF">2022-10-25T06:44:33Z</dcterms:created>
  <dcterms:modified xsi:type="dcterms:W3CDTF">2024-08-08T13:18:21Z</dcterms:modified>
</cp:coreProperties>
</file>